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codeName="ThisWorkbook" defaultThemeVersion="166925"/>
  <mc:AlternateContent xmlns:mc="http://schemas.openxmlformats.org/markup-compatibility/2006">
    <mc:Choice Requires="x15">
      <x15ac:absPath xmlns:x15ac="http://schemas.microsoft.com/office/spreadsheetml/2010/11/ac" url="D:\Jerad\Documents\MSU documents\Marketing contracts\"/>
    </mc:Choice>
  </mc:AlternateContent>
  <xr:revisionPtr revIDLastSave="0" documentId="13_ncr:1_{EAA2576A-3036-4D0D-8F67-8FCD68D03620}" xr6:coauthVersionLast="47" xr6:coauthVersionMax="47" xr10:uidLastSave="{00000000-0000-0000-0000-000000000000}"/>
  <bookViews>
    <workbookView xWindow="28680" yWindow="-120" windowWidth="29040" windowHeight="15840" tabRatio="448" activeTab="1" xr2:uid="{96D229E5-FD9C-4143-AFD5-D7AFC68C1708}"/>
  </bookViews>
  <sheets>
    <sheet name="Instructions" sheetId="3" r:id="rId1"/>
    <sheet name="Contract Comparison Tool" sheetId="1" r:id="rId2"/>
    <sheet name="Sensitivity Analysis"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8" i="1" l="1"/>
  <c r="P55" i="2"/>
  <c r="U18" i="1"/>
  <c r="M25" i="2"/>
  <c r="M24" i="2"/>
  <c r="M23" i="2"/>
  <c r="M22" i="2"/>
  <c r="M21" i="2"/>
  <c r="M20" i="2"/>
  <c r="M19" i="2"/>
  <c r="M18" i="2"/>
  <c r="M14" i="2"/>
  <c r="U54" i="1" a="1"/>
  <c r="U54" i="1" s="1"/>
  <c r="U55" i="1"/>
  <c r="S33" i="1"/>
  <c r="U33" i="1" s="1"/>
  <c r="S31" i="1"/>
  <c r="U31" i="1" s="1"/>
  <c r="S25" i="1"/>
  <c r="U25" i="1" s="1"/>
  <c r="S24" i="1"/>
  <c r="U24" i="1" s="1"/>
  <c r="S23" i="1"/>
  <c r="U23" i="1" s="1"/>
  <c r="S22" i="1"/>
  <c r="U22" i="1" s="1"/>
  <c r="S21" i="1"/>
  <c r="U21" i="1" s="1"/>
  <c r="S20" i="1"/>
  <c r="U20" i="1" s="1"/>
  <c r="S19" i="1"/>
  <c r="U19" i="1" s="1"/>
  <c r="S18" i="1"/>
  <c r="N8" i="1" a="1"/>
  <c r="N8" i="1" s="1"/>
  <c r="P54" i="1" s="1" a="1"/>
  <c r="P54" i="1" s="1"/>
  <c r="N14" i="1"/>
  <c r="S13" i="1"/>
  <c r="S14" i="1" s="1"/>
  <c r="K9" i="1"/>
  <c r="B9" i="2" s="1"/>
  <c r="U40" i="1" l="1"/>
  <c r="S9" i="1"/>
  <c r="G18" i="2"/>
  <c r="M39" i="2"/>
  <c r="M38" i="2"/>
  <c r="G39" i="2"/>
  <c r="G38" i="2"/>
  <c r="G30" i="2"/>
  <c r="G29" i="2"/>
  <c r="G28" i="2"/>
  <c r="G25" i="2"/>
  <c r="G24" i="2"/>
  <c r="G23" i="2"/>
  <c r="G22" i="2"/>
  <c r="G21" i="2"/>
  <c r="G20" i="2"/>
  <c r="G19" i="2"/>
  <c r="N33" i="1"/>
  <c r="N34" i="1"/>
  <c r="S41" i="1"/>
  <c r="U41" i="1" s="1"/>
  <c r="M28" i="2"/>
  <c r="N41" i="1"/>
  <c r="N44" i="1"/>
  <c r="S45" i="1"/>
  <c r="U45" i="1" s="1"/>
  <c r="S44" i="1"/>
  <c r="U44" i="1" s="1"/>
  <c r="S40" i="1"/>
  <c r="S48" i="1"/>
  <c r="U48" i="1" s="1"/>
  <c r="S47" i="1"/>
  <c r="U47" i="1" s="1"/>
  <c r="S46" i="1"/>
  <c r="U46" i="1" s="1"/>
  <c r="N46" i="1"/>
  <c r="P46" i="1" s="1"/>
  <c r="N45" i="1"/>
  <c r="P45" i="1" s="1"/>
  <c r="N47" i="1"/>
  <c r="N39" i="1"/>
  <c r="P39" i="1" s="1"/>
  <c r="N38" i="1"/>
  <c r="P38" i="1" s="1"/>
  <c r="N37" i="1"/>
  <c r="P37" i="1" s="1"/>
  <c r="S39" i="1"/>
  <c r="U39" i="1" s="1"/>
  <c r="S38" i="1"/>
  <c r="U38" i="1" s="1"/>
  <c r="S37" i="1"/>
  <c r="U37" i="1" s="1"/>
  <c r="N29" i="1"/>
  <c r="P29" i="1" s="1"/>
  <c r="N21" i="1"/>
  <c r="P21" i="1" s="1"/>
  <c r="K41" i="1"/>
  <c r="K40" i="1"/>
  <c r="K39" i="1"/>
  <c r="K38" i="1"/>
  <c r="K37" i="1"/>
  <c r="N22" i="1"/>
  <c r="N20" i="1"/>
  <c r="M10" i="2"/>
  <c r="G13" i="2"/>
  <c r="G14" i="2" s="1"/>
  <c r="G10" i="2"/>
  <c r="G9" i="2"/>
  <c r="G7" i="2"/>
  <c r="B5" i="2"/>
  <c r="O28" i="2" s="1"/>
  <c r="B10" i="2"/>
  <c r="G8" i="2" l="1" a="1"/>
  <c r="G8" i="2" s="1"/>
  <c r="J54" i="2" s="1" a="1"/>
  <c r="J54" i="2" s="1"/>
  <c r="S7" i="1"/>
  <c r="S8" i="1" s="1" a="1"/>
  <c r="S8" i="1" s="1"/>
  <c r="M7" i="2"/>
  <c r="G11" i="2"/>
  <c r="G12" i="2" s="1"/>
  <c r="M11" i="2"/>
  <c r="M12" i="2" s="1"/>
  <c r="N11" i="1"/>
  <c r="N12" i="1" s="1"/>
  <c r="I30" i="2"/>
  <c r="M8" i="2" l="1" a="1"/>
  <c r="M8" i="2" s="1"/>
  <c r="P54" i="2" s="1" a="1"/>
  <c r="P54" i="2" s="1"/>
  <c r="N25" i="1" l="1"/>
  <c r="K25" i="1"/>
  <c r="B25" i="2" s="1"/>
  <c r="D25" i="2" s="1"/>
  <c r="O30" i="1"/>
  <c r="H25" i="2" l="1"/>
  <c r="J25" i="2" s="1"/>
  <c r="N25" i="2"/>
  <c r="P25" i="2" s="1"/>
  <c r="N24" i="1"/>
  <c r="P24" i="1" s="1"/>
  <c r="N23" i="1"/>
  <c r="P23" i="1" s="1"/>
  <c r="P22" i="1"/>
  <c r="N19" i="1"/>
  <c r="P19" i="1" s="1"/>
  <c r="N18" i="1"/>
  <c r="P18" i="1" s="1"/>
  <c r="P20" i="1"/>
  <c r="P25" i="1"/>
  <c r="N48" i="1"/>
  <c r="P48" i="1" s="1"/>
  <c r="P47" i="1"/>
  <c r="P44" i="1"/>
  <c r="K19" i="1"/>
  <c r="B19" i="2" s="1"/>
  <c r="D19" i="2" s="1"/>
  <c r="N19" i="2" s="1"/>
  <c r="P19" i="2" s="1"/>
  <c r="P41" i="1"/>
  <c r="N40" i="1"/>
  <c r="P40" i="1" s="1"/>
  <c r="N30" i="1"/>
  <c r="P30" i="1" s="1"/>
  <c r="N31" i="1"/>
  <c r="P31" i="1" s="1"/>
  <c r="N32" i="1"/>
  <c r="P32" i="1" s="1"/>
  <c r="P34" i="1"/>
  <c r="P33" i="1"/>
  <c r="N28" i="1"/>
  <c r="P28" i="1" s="1"/>
  <c r="K22" i="1"/>
  <c r="B22" i="2" s="1"/>
  <c r="D22" i="2" s="1"/>
  <c r="N22" i="2" s="1"/>
  <c r="K48" i="1"/>
  <c r="B48" i="2" s="1"/>
  <c r="D48" i="2" s="1"/>
  <c r="K47" i="1"/>
  <c r="B47" i="2" s="1"/>
  <c r="D47" i="2" s="1"/>
  <c r="K46" i="1"/>
  <c r="B46" i="2" s="1"/>
  <c r="D46" i="2" s="1"/>
  <c r="K45" i="1"/>
  <c r="B45" i="2" s="1"/>
  <c r="D45" i="2" s="1"/>
  <c r="K44" i="1"/>
  <c r="B44" i="2" s="1"/>
  <c r="D44" i="2" s="1"/>
  <c r="K24" i="1"/>
  <c r="B24" i="2" s="1"/>
  <c r="D24" i="2" s="1"/>
  <c r="K23" i="1"/>
  <c r="B23" i="2" s="1"/>
  <c r="D23" i="2" s="1"/>
  <c r="K21" i="1"/>
  <c r="B21" i="2" s="1"/>
  <c r="D21" i="2" s="1"/>
  <c r="K20" i="1"/>
  <c r="B20" i="2" s="1"/>
  <c r="D20" i="2" s="1"/>
  <c r="N20" i="2" s="1"/>
  <c r="K18" i="1"/>
  <c r="B18" i="2" s="1"/>
  <c r="D18" i="2" s="1"/>
  <c r="N18" i="2" s="1"/>
  <c r="P18" i="2" s="1"/>
  <c r="B41" i="2"/>
  <c r="D41" i="2" s="1"/>
  <c r="B39" i="2"/>
  <c r="D39" i="2" s="1"/>
  <c r="N39" i="2" s="1"/>
  <c r="P39" i="2" s="1"/>
  <c r="B38" i="2"/>
  <c r="D38" i="2" s="1"/>
  <c r="N38" i="2" s="1"/>
  <c r="P38" i="2" s="1"/>
  <c r="B37" i="2"/>
  <c r="D37" i="2" s="1"/>
  <c r="K34" i="1"/>
  <c r="B34" i="2" s="1"/>
  <c r="D34" i="2" s="1"/>
  <c r="K33" i="1"/>
  <c r="B33" i="2" s="1"/>
  <c r="D33" i="2" s="1"/>
  <c r="K32" i="1"/>
  <c r="B32" i="2" s="1"/>
  <c r="D32" i="2" s="1"/>
  <c r="K31" i="1"/>
  <c r="B31" i="2" s="1"/>
  <c r="D31" i="2" s="1"/>
  <c r="K29" i="1"/>
  <c r="K30" i="1"/>
  <c r="B30" i="2" s="1"/>
  <c r="D30" i="2" s="1"/>
  <c r="H30" i="2" s="1"/>
  <c r="J30" i="2" s="1"/>
  <c r="K28" i="1"/>
  <c r="K12" i="1"/>
  <c r="K8" i="1"/>
  <c r="U28" i="1" l="1"/>
  <c r="H21" i="2"/>
  <c r="J21" i="2" s="1"/>
  <c r="N21" i="2"/>
  <c r="H23" i="2"/>
  <c r="J23" i="2" s="1"/>
  <c r="N23" i="2"/>
  <c r="P23" i="2" s="1"/>
  <c r="H24" i="2"/>
  <c r="J24" i="2" s="1"/>
  <c r="N24" i="2"/>
  <c r="P24" i="2" s="1"/>
  <c r="P53" i="1"/>
  <c r="P20" i="2"/>
  <c r="H19" i="2"/>
  <c r="J19" i="2" s="1"/>
  <c r="H20" i="2"/>
  <c r="J20" i="2" s="1"/>
  <c r="H22" i="2"/>
  <c r="J22" i="2" s="1"/>
  <c r="B28" i="2"/>
  <c r="D28" i="2" s="1"/>
  <c r="H38" i="2"/>
  <c r="J38" i="2" s="1"/>
  <c r="H39" i="2"/>
  <c r="J39" i="2" s="1"/>
  <c r="P21" i="2"/>
  <c r="B40" i="2"/>
  <c r="D40" i="2" s="1"/>
  <c r="P40" i="2" s="1"/>
  <c r="U56" i="1"/>
  <c r="B8" i="2"/>
  <c r="P56" i="2" s="1"/>
  <c r="K14" i="1"/>
  <c r="B12" i="2"/>
  <c r="B29" i="2"/>
  <c r="U52" i="1"/>
  <c r="K13" i="1"/>
  <c r="H28" i="2" l="1"/>
  <c r="J28" i="2" s="1"/>
  <c r="P51" i="2"/>
  <c r="J51" i="2"/>
  <c r="D29" i="2"/>
  <c r="P28" i="2" s="1"/>
  <c r="P22" i="2"/>
  <c r="P52" i="2" s="1"/>
  <c r="B13" i="2"/>
  <c r="B14" i="2"/>
  <c r="B11" i="2"/>
  <c r="J56" i="2"/>
  <c r="M31" i="2" l="1"/>
  <c r="G31" i="2"/>
  <c r="H31" i="2" s="1"/>
  <c r="J31" i="2" s="1"/>
  <c r="M33" i="2"/>
  <c r="N29" i="2"/>
  <c r="M47" i="2"/>
  <c r="N47" i="2" s="1"/>
  <c r="P47" i="2" s="1"/>
  <c r="M46" i="2"/>
  <c r="N46" i="2" s="1"/>
  <c r="P46" i="2" s="1"/>
  <c r="M45" i="2"/>
  <c r="N45" i="2" s="1"/>
  <c r="P45" i="2" s="1"/>
  <c r="M41" i="2"/>
  <c r="N41" i="2" s="1"/>
  <c r="P41" i="2" s="1"/>
  <c r="M40" i="2"/>
  <c r="N40" i="2" s="1"/>
  <c r="M44" i="2"/>
  <c r="N44" i="2" s="1"/>
  <c r="P44" i="2" s="1"/>
  <c r="M48" i="2"/>
  <c r="N48" i="2" s="1"/>
  <c r="P48" i="2" s="1"/>
  <c r="M37" i="2"/>
  <c r="N37" i="2" s="1"/>
  <c r="P37" i="2" s="1"/>
  <c r="N28" i="2"/>
  <c r="G41" i="2"/>
  <c r="H41" i="2" s="1"/>
  <c r="J41" i="2" s="1"/>
  <c r="G40" i="2"/>
  <c r="H40" i="2" s="1"/>
  <c r="J40" i="2" s="1"/>
  <c r="G48" i="2"/>
  <c r="H48" i="2" s="1"/>
  <c r="J48" i="2" s="1"/>
  <c r="G47" i="2"/>
  <c r="H47" i="2" s="1"/>
  <c r="J47" i="2" s="1"/>
  <c r="G37" i="2"/>
  <c r="H37" i="2" s="1"/>
  <c r="J37" i="2" s="1"/>
  <c r="G44" i="2"/>
  <c r="H44" i="2" s="1"/>
  <c r="J44" i="2" s="1"/>
  <c r="G46" i="2"/>
  <c r="H46" i="2" s="1"/>
  <c r="J46" i="2" s="1"/>
  <c r="G34" i="2"/>
  <c r="H34" i="2" s="1"/>
  <c r="J34" i="2" s="1"/>
  <c r="G45" i="2"/>
  <c r="H45" i="2" s="1"/>
  <c r="J45" i="2" s="1"/>
  <c r="G33" i="2"/>
  <c r="H33" i="2" s="1"/>
  <c r="J33" i="2" s="1"/>
  <c r="G32" i="2"/>
  <c r="H32" i="2" s="1"/>
  <c r="J32" i="2" s="1"/>
  <c r="H29" i="2"/>
  <c r="J29" i="2" s="1"/>
  <c r="N31" i="2" l="1"/>
  <c r="P31" i="2" s="1"/>
  <c r="N33" i="2"/>
  <c r="P33" i="2" s="1"/>
  <c r="P53" i="2"/>
  <c r="P57" i="2" s="1"/>
  <c r="J53" i="2"/>
  <c r="P56" i="1" l="1"/>
  <c r="P51" i="1"/>
  <c r="S11" i="1"/>
  <c r="K11" i="1"/>
  <c r="T28" i="1"/>
  <c r="U53" i="1" l="1"/>
  <c r="S12" i="1"/>
  <c r="U51" i="1" s="1"/>
  <c r="P52" i="1"/>
  <c r="P57" i="1" l="1"/>
  <c r="U57" i="1" l="1"/>
  <c r="P60" i="1" s="1"/>
  <c r="P61" i="1" s="1"/>
  <c r="H18" i="2"/>
  <c r="J18" i="2" s="1"/>
  <c r="J52" i="2" s="1"/>
  <c r="J57" i="2" s="1"/>
  <c r="J60" i="2" s="1"/>
  <c r="J61" i="2"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<sst xmlns="http://schemas.openxmlformats.org/spreadsheetml/2006/main" count="524" uniqueCount="108">
  <si>
    <t>Animal ID</t>
  </si>
  <si>
    <t>Quality Grade</t>
  </si>
  <si>
    <t>Yield Grade</t>
  </si>
  <si>
    <t>Summary Stats</t>
  </si>
  <si>
    <t>Prime</t>
  </si>
  <si>
    <t>Choice</t>
  </si>
  <si>
    <t>Select</t>
  </si>
  <si>
    <t>Standard</t>
  </si>
  <si>
    <t>Yellow Fat</t>
  </si>
  <si>
    <t>Less than 599.9</t>
  </si>
  <si>
    <t>600 - 649.9</t>
  </si>
  <si>
    <t>650 - 699.9</t>
  </si>
  <si>
    <t>700 - 999.9</t>
  </si>
  <si>
    <t>1000 - 1049.9</t>
  </si>
  <si>
    <t>1050 - 1099.9</t>
  </si>
  <si>
    <t>1100 - 1199.9</t>
  </si>
  <si>
    <t>Over 30 months old</t>
  </si>
  <si>
    <t>Old Contract</t>
  </si>
  <si>
    <t>New Contract</t>
  </si>
  <si>
    <t>Muscle Score 1</t>
  </si>
  <si>
    <t>Muscle Score 2</t>
  </si>
  <si>
    <t>Muscle Score 3</t>
  </si>
  <si>
    <t>Muscle Score 4</t>
  </si>
  <si>
    <t>Number of Head</t>
  </si>
  <si>
    <t>Average Dressing Percentage</t>
  </si>
  <si>
    <t>1200 and Greater</t>
  </si>
  <si>
    <t>Hot Carcass Weight (lb.)</t>
  </si>
  <si>
    <t>Beef Council Fee</t>
  </si>
  <si>
    <t>Dressing Percentage</t>
  </si>
  <si>
    <t>Live Contract Price</t>
  </si>
  <si>
    <t>Carcass Contract Price</t>
  </si>
  <si>
    <t>CME Futures Price</t>
  </si>
  <si>
    <t>Basis</t>
  </si>
  <si>
    <t>Current Live Cash Price</t>
  </si>
  <si>
    <t>Contracted Total Live Weight</t>
  </si>
  <si>
    <t>Excess Weight</t>
  </si>
  <si>
    <t>Muscle Score</t>
  </si>
  <si>
    <t>Age Over 30 Months</t>
  </si>
  <si>
    <t>New Contract Summary</t>
  </si>
  <si>
    <t>Old Contract Summary</t>
  </si>
  <si>
    <t>Dark Cutter</t>
  </si>
  <si>
    <t>No</t>
  </si>
  <si>
    <t>No Roll</t>
  </si>
  <si>
    <t>Premium/Discount ($/cwt)</t>
  </si>
  <si>
    <t>Value ($)</t>
  </si>
  <si>
    <t>Average Weight of Excess/Deficiency (lb.)</t>
  </si>
  <si>
    <t>Total Weight (lb.)</t>
  </si>
  <si>
    <t>Hot Weight (lb.)</t>
  </si>
  <si>
    <t>Choice/Select Spread ($/cwt)</t>
  </si>
  <si>
    <t>YG 5</t>
  </si>
  <si>
    <t>Percent Choice &amp; Prime (70%)</t>
  </si>
  <si>
    <t>Percent YG 4 (5%)</t>
  </si>
  <si>
    <t>Muscle Score/ Age</t>
  </si>
  <si>
    <t>Hot Carcass Weight</t>
  </si>
  <si>
    <t>YG 4</t>
  </si>
  <si>
    <t>Contract Differences (New - Old)</t>
  </si>
  <si>
    <t>Net Revenue</t>
  </si>
  <si>
    <t>Net Revenue per Head</t>
  </si>
  <si>
    <t>Load Size Adjustments</t>
  </si>
  <si>
    <t>Gross Revenue</t>
  </si>
  <si>
    <t>Grid Premiums and Discounts</t>
  </si>
  <si>
    <t>Carcass Weight Discounts</t>
  </si>
  <si>
    <t>Change (No.)</t>
  </si>
  <si>
    <t>Discount ($/cwt)</t>
  </si>
  <si>
    <t>1) In addition to this instruction tab, there are two other tabs found at the bottom of the page.  Only grey highlighted cells are allowed to be changed.</t>
  </si>
  <si>
    <t>General Instructions</t>
  </si>
  <si>
    <t>Sensitivity Analysis</t>
  </si>
  <si>
    <t>1) Start by entering in the individual cattle information in the grey cells (cells A-H).</t>
  </si>
  <si>
    <t>Purchase Group #</t>
  </si>
  <si>
    <t>6) For the Select discount on the "New" contract (cell O30), this discount is currently the CH/SE Spread Price + $4.</t>
  </si>
  <si>
    <t>Origninal (No.)</t>
  </si>
  <si>
    <t>New Total (No.)</t>
  </si>
  <si>
    <t>Total Live Weight (lb.)</t>
  </si>
  <si>
    <t>Average Live Weight (lb.)</t>
  </si>
  <si>
    <t>Total Hot Weight (lb.)</t>
  </si>
  <si>
    <t>Average Hot Weight (lb.)</t>
  </si>
  <si>
    <t>(No.)</t>
  </si>
  <si>
    <t>YG 1</t>
  </si>
  <si>
    <t>YG 2</t>
  </si>
  <si>
    <t>YG 3</t>
  </si>
  <si>
    <t>Average Weight (lb.)</t>
  </si>
  <si>
    <t>2) Column C allows the producer to change (+/-) the number of cattle for each summary statistic category (i.e., prime, YG4, etc.).  You do not want a negative number in column D, as this is not possible in reality.</t>
  </si>
  <si>
    <t>JBS Holstein Contract Comparison Tool</t>
  </si>
  <si>
    <t>Instructions for JBS Holstein Contract Comparison Tool</t>
  </si>
  <si>
    <t>Contract Comparison Tool</t>
  </si>
  <si>
    <t>1) Much of the information (i.e., summary statistic counts and average weights) on the "Sensitity Analysis" tab is propagated from the "Contract Comparison Tool" tab.</t>
  </si>
  <si>
    <t>3) In columns G and L, the average weight will be propagated from the "Contract Comparison Tool" tab.  If there were no cattle with those particular summary statistics found from the data of the load of cattle you previously entered in the "Contract Comparison Tool" tab, then the average load weight was used or predetermined for you.  You have the option to change the average weight in for cells in columns G and L.  Just remember for the Hot Carcass Weight cells (17-24) the average weight you enter should fall within the range of that summary statistic.</t>
  </si>
  <si>
    <t>Number of Outs</t>
  </si>
  <si>
    <t>Current Carcass Cash Price</t>
  </si>
  <si>
    <t>Freight/Trucking Costs</t>
  </si>
  <si>
    <t xml:space="preserve">2) The "Contract Comparison Tool" tab allows the producer to enter in information for a particular lot of cattle on the left hand side of the spreadsheet (cells A-H) and compare their monetary value when sold on the "New" and "Old" JBS Holstein contracts (cell P60). </t>
  </si>
  <si>
    <t>3) The "Sensitivity Analysis" tab allows the producer to manipulate or change the number of cattle in each summary statistic category (i.e., prime, YG 4, etc.) to determine the effect of the changes on the revenue received for a hypothetical load of cattle on each contract.</t>
  </si>
  <si>
    <t>2) Animal ID and Purchase Group # are optional cells that don't necessarily need to be filled in.  You must enter the Hot Carcass Weight of the cattle (cells B).  If an animal has a weight of zero because it was condemned, do not enter a Hot Carcass Weight.</t>
  </si>
  <si>
    <t>4) Next, enter in the total live weight (cell K9) and the Contracted Total Live Weight (cell N7) for the load of cattle.  The Contracted Total Live Weight  will be found on your Holstein contract agreement made with JBS.</t>
  </si>
  <si>
    <t>7) Enter in the CME Futures Price (cell N9), the Basis (cell N10), and the Current Live Cash Price (cell N13).  A Contracted Live Price (cell N11) will be calculated for you.  The Contracted Live Price should match your receipt.  You can back calculate the CME Futures Price by adding the basis to the Contracted LIve Price found on your receipt for whichever contract you used.</t>
  </si>
  <si>
    <t>8) You have the ability to enter in the premium and discount prices if they have changed for a particular contract.</t>
  </si>
  <si>
    <t>9) You have the ability to enter in freight/trucking costs if you had any (cell P55).  Remember this should be a negative value that you enter.</t>
  </si>
  <si>
    <t>10) Net Revenue received for the load of cattle on the "New" (cell P57) and "Old" (U57) contract are highlighted in blue cells.</t>
  </si>
  <si>
    <t>11) The Net Revenue difference between the "New" and "Old" JBS Holstein contract is shown as a total (cell K52) and on a $ per head basis (cell K53), also shown in blue highlighted cells.</t>
  </si>
  <si>
    <t>This spreadsheet is to be used to help assist with choosing between using the "New" or "Old" JBS Holstein contract and discovering how premiums and discounts can affect the profitability of a load of cattle.</t>
  </si>
  <si>
    <t>12) For additional help finding the information needed from the receipt for the spreadsheet, see the attached example of a receipt in this instructions tab.</t>
  </si>
  <si>
    <t>MSU is an affirmative-action, equal-opportunity employer.  Michigan State University Extension programs and materials are open to all without regard to race, color, national origin, gender, gender identity, religion, age, height, weight, disability, political beliefs, sexual orientation, marital status, family status or veteran status.</t>
  </si>
  <si>
    <t>Example Reciept Data Entry</t>
  </si>
  <si>
    <r>
      <rPr>
        <sz val="12"/>
        <color theme="1"/>
        <rFont val="Calibri"/>
        <family val="2"/>
        <scheme val="minor"/>
      </rPr>
      <t>5) Enter in the weekly Choice/Select spread price (cell K4).  This can be found at www.ams.usda.gov &gt; Market News &gt; Livestock, Poultry, Grain &gt; Cattle &gt; Slaughter Cattle Summary (</t>
    </r>
    <r>
      <rPr>
        <u/>
        <sz val="12"/>
        <color theme="10"/>
        <rFont val="Calibri"/>
        <family val="2"/>
        <scheme val="minor"/>
      </rPr>
      <t>https://www.ams.usda.gov/mnreports/lsddcbs.pdf</t>
    </r>
    <r>
      <rPr>
        <sz val="12"/>
        <color theme="1"/>
        <rFont val="Calibri"/>
        <family val="2"/>
        <scheme val="minor"/>
      </rPr>
      <t>)</t>
    </r>
  </si>
  <si>
    <r>
      <rPr>
        <b/>
        <sz val="12"/>
        <color theme="1"/>
        <rFont val="Calibri"/>
        <family val="2"/>
        <scheme val="minor"/>
      </rPr>
      <t>Authors:</t>
    </r>
    <r>
      <rPr>
        <sz val="12"/>
        <color theme="1"/>
        <rFont val="Calibri"/>
        <family val="2"/>
        <scheme val="minor"/>
      </rPr>
      <t xml:space="preserve"> Jerad Jaborek*, Melissa McKendree*, Jeannine Schweihofer*, Dan Buskirk*</t>
    </r>
  </si>
  <si>
    <r>
      <t>Collaborators:</t>
    </r>
    <r>
      <rPr>
        <sz val="12"/>
        <color theme="1"/>
        <rFont val="Calibri"/>
        <family val="2"/>
        <scheme val="minor"/>
      </rPr>
      <t xml:space="preserve"> Karen DeLong**, Andrew Griffith**, Arnold Hentschl</t>
    </r>
    <r>
      <rPr>
        <b/>
        <sz val="12"/>
        <color theme="1"/>
        <rFont val="Calibri"/>
        <family val="2"/>
        <scheme val="minor"/>
      </rPr>
      <t>***</t>
    </r>
  </si>
  <si>
    <t>*Michigan State University, **University of Tennessee, ***Harbor Beach Veterinary Services</t>
  </si>
  <si>
    <t>3) For Quality Grade, Yield Grade, Muscle Score, Dark Cutter, Yellow Fat, and Over 30 Months Old, select the appropriate dropdown option for each animal.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</si>
</sst>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quot;$&quot;#,##0.00"/>
    <numFmt numFmtId="165" formatCode="&quot;$&quot;#,##0.000"/>
    <numFmt numFmtId="166" formatCode="_(* #,##0_);_(* \(#,##0\);_(* &quot;-&quot;??_);_(@_)"/>
  </numFmts>
  <fonts count="14" x14ac:knownFonts="1">
    <font>
      <sz val="11"/>
      <color theme="1"/>
      <name val="Calibri"/>
      <family val="2"/>
      <scheme val="minor"/>
    </font>
    <font>
      <sz val="8"/>
      <name val="Calibri"/>
      <family val="2"/>
      <scheme val="minor"/>
    </font>
    <font>
      <b/>
      <sz val="12"/>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
      <b/>
      <sz val="13"/>
      <name val="Calibri"/>
      <family val="2"/>
      <scheme val="minor"/>
    </font>
    <font>
      <b/>
      <sz val="13"/>
      <color theme="1"/>
      <name val="Calibri"/>
      <family val="2"/>
      <scheme val="minor"/>
    </font>
    <font>
      <b/>
      <sz val="13"/>
      <color theme="1"/>
      <name val="Calibri"/>
      <family val="2"/>
    </font>
    <font>
      <b/>
      <u/>
      <sz val="12"/>
      <color theme="1"/>
      <name val="Calibri"/>
      <family val="2"/>
      <scheme val="minor"/>
    </font>
    <font>
      <u/>
      <sz val="11"/>
      <color theme="10"/>
      <name val="Calibri"/>
      <family val="2"/>
      <scheme val="minor"/>
    </font>
    <font>
      <i/>
      <sz val="12"/>
      <color theme="1"/>
      <name val="Calibri"/>
      <family val="2"/>
      <scheme val="minor"/>
    </font>
    <font>
      <sz val="11"/>
      <color theme="1"/>
      <name val="Calibri"/>
      <family val="2"/>
      <scheme val="minor"/>
    </font>
    <font>
      <u/>
      <sz val="12"/>
      <color theme="10"/>
      <name val="Calibri"/>
      <family val="2"/>
      <scheme val="minor"/>
    </font>
  </fonts>
  <fills count="9">
    <fill>
      <patternFill patternType="none"/>
    </fill>
    <fill>
      <patternFill patternType="gray125"/>
    </fill>
    <fill>
      <patternFill patternType="solid">
        <fgColor theme="2"/>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1" tint="0.499984740745262"/>
        <bgColor indexed="64"/>
      </patternFill>
    </fill>
    <fill>
      <patternFill patternType="solid">
        <fgColor theme="0"/>
        <bgColor indexed="64"/>
      </patternFill>
    </fill>
    <fill>
      <patternFill patternType="solid">
        <fgColor theme="9" tint="0.59999389629810485"/>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3">
    <xf numFmtId="0" fontId="0" fillId="0" borderId="0"/>
    <xf numFmtId="0" fontId="10" fillId="0" borderId="0" applyNumberFormat="0" applyFill="0" applyBorder="0" applyAlignment="0" applyProtection="0"/>
    <xf numFmtId="43" fontId="12" fillId="0" borderId="0" applyFont="0" applyFill="0" applyBorder="0" applyAlignment="0" applyProtection="0"/>
  </cellStyleXfs>
  <cellXfs count="136">
    <xf numFmtId="0" fontId="0" fillId="0" borderId="0" xfId="0"/>
    <xf numFmtId="0" fontId="3" fillId="0" borderId="0" xfId="0" applyFont="1"/>
    <xf numFmtId="0" fontId="3" fillId="0" borderId="0" xfId="0" applyFont="1" applyFill="1"/>
    <xf numFmtId="0" fontId="3" fillId="0" borderId="1" xfId="0" applyFont="1" applyBorder="1" applyAlignment="1">
      <alignment horizontal="right"/>
    </xf>
    <xf numFmtId="2" fontId="3" fillId="0" borderId="1" xfId="0" applyNumberFormat="1" applyFont="1" applyBorder="1"/>
    <xf numFmtId="0" fontId="3" fillId="0" borderId="1" xfId="0" applyFont="1" applyBorder="1"/>
    <xf numFmtId="0" fontId="3" fillId="0" borderId="1" xfId="0" applyFont="1" applyFill="1" applyBorder="1" applyAlignment="1">
      <alignment horizontal="right"/>
    </xf>
    <xf numFmtId="0" fontId="3" fillId="0" borderId="1" xfId="0" applyFont="1" applyFill="1" applyBorder="1"/>
    <xf numFmtId="0" fontId="3" fillId="0" borderId="0" xfId="0" applyFont="1" applyFill="1" applyBorder="1"/>
    <xf numFmtId="164" fontId="3" fillId="0" borderId="1" xfId="0" applyNumberFormat="1" applyFont="1" applyFill="1" applyBorder="1"/>
    <xf numFmtId="164" fontId="3" fillId="0" borderId="1" xfId="0" applyNumberFormat="1" applyFont="1" applyBorder="1"/>
    <xf numFmtId="2" fontId="3" fillId="0" borderId="1" xfId="0" applyNumberFormat="1" applyFont="1" applyFill="1" applyBorder="1"/>
    <xf numFmtId="0" fontId="3" fillId="0" borderId="2" xfId="0" applyFont="1" applyBorder="1" applyAlignment="1">
      <alignment horizontal="right"/>
    </xf>
    <xf numFmtId="164" fontId="3" fillId="0" borderId="2" xfId="0" applyNumberFormat="1" applyFont="1" applyBorder="1"/>
    <xf numFmtId="0" fontId="3" fillId="0" borderId="2" xfId="0" applyFont="1" applyBorder="1"/>
    <xf numFmtId="0" fontId="3" fillId="0" borderId="3" xfId="0" applyFont="1" applyBorder="1" applyAlignment="1">
      <alignment horizontal="right"/>
    </xf>
    <xf numFmtId="164" fontId="3" fillId="0" borderId="3" xfId="0" applyNumberFormat="1" applyFont="1" applyBorder="1"/>
    <xf numFmtId="164" fontId="3" fillId="4" borderId="1" xfId="0" applyNumberFormat="1" applyFont="1" applyFill="1" applyBorder="1"/>
    <xf numFmtId="0" fontId="6" fillId="3" borderId="1" xfId="0" applyFont="1" applyFill="1" applyBorder="1" applyAlignment="1">
      <alignment horizontal="right"/>
    </xf>
    <xf numFmtId="0" fontId="3" fillId="0" borderId="0" xfId="0" applyNumberFormat="1" applyFont="1" applyFill="1"/>
    <xf numFmtId="0" fontId="3" fillId="0" borderId="0" xfId="0" applyFont="1" applyAlignment="1">
      <alignment wrapText="1"/>
    </xf>
    <xf numFmtId="0" fontId="7" fillId="3" borderId="1" xfId="0" applyFont="1" applyFill="1" applyBorder="1" applyAlignment="1">
      <alignment horizontal="right"/>
    </xf>
    <xf numFmtId="0" fontId="6" fillId="3" borderId="1" xfId="0" applyFont="1" applyFill="1" applyBorder="1" applyAlignment="1">
      <alignment horizontal="center"/>
    </xf>
    <xf numFmtId="0" fontId="6" fillId="3" borderId="5" xfId="0" applyFont="1" applyFill="1" applyBorder="1" applyAlignment="1">
      <alignment horizontal="center"/>
    </xf>
    <xf numFmtId="164" fontId="3" fillId="4" borderId="3" xfId="0" applyNumberFormat="1" applyFont="1" applyFill="1" applyBorder="1"/>
    <xf numFmtId="0" fontId="3" fillId="6" borderId="0" xfId="0" applyFont="1" applyFill="1" applyBorder="1" applyAlignment="1">
      <alignment horizontal="right"/>
    </xf>
    <xf numFmtId="0" fontId="3" fillId="6" borderId="0" xfId="0" applyFont="1" applyFill="1" applyBorder="1"/>
    <xf numFmtId="164" fontId="3" fillId="6" borderId="0" xfId="0" applyNumberFormat="1" applyFont="1" applyFill="1" applyBorder="1"/>
    <xf numFmtId="0" fontId="3" fillId="6" borderId="12" xfId="0" applyFont="1" applyFill="1" applyBorder="1" applyAlignment="1">
      <alignment horizontal="right"/>
    </xf>
    <xf numFmtId="0" fontId="3" fillId="6" borderId="11" xfId="0" applyFont="1" applyFill="1" applyBorder="1"/>
    <xf numFmtId="164" fontId="3" fillId="6" borderId="11" xfId="0" applyNumberFormat="1" applyFont="1" applyFill="1" applyBorder="1"/>
    <xf numFmtId="0" fontId="3" fillId="6" borderId="8" xfId="0" applyFont="1" applyFill="1" applyBorder="1"/>
    <xf numFmtId="0" fontId="3" fillId="6" borderId="13" xfId="0" applyFont="1" applyFill="1" applyBorder="1" applyAlignment="1">
      <alignment horizontal="right"/>
    </xf>
    <xf numFmtId="0" fontId="3" fillId="6" borderId="10" xfId="0" applyFont="1" applyFill="1" applyBorder="1"/>
    <xf numFmtId="0" fontId="3" fillId="6" borderId="14" xfId="0" applyFont="1" applyFill="1" applyBorder="1" applyAlignment="1">
      <alignment horizontal="right"/>
    </xf>
    <xf numFmtId="0" fontId="3" fillId="6" borderId="6" xfId="0" applyFont="1" applyFill="1" applyBorder="1"/>
    <xf numFmtId="164" fontId="3" fillId="6" borderId="6" xfId="0" applyNumberFormat="1" applyFont="1" applyFill="1" applyBorder="1"/>
    <xf numFmtId="0" fontId="3" fillId="6" borderId="9" xfId="0" applyFont="1" applyFill="1" applyBorder="1"/>
    <xf numFmtId="1" fontId="3" fillId="0" borderId="1" xfId="0" applyNumberFormat="1" applyFont="1" applyBorder="1" applyAlignment="1">
      <alignment horizontal="right"/>
    </xf>
    <xf numFmtId="164" fontId="3" fillId="0" borderId="1" xfId="0" applyNumberFormat="1" applyFont="1" applyBorder="1" applyAlignment="1">
      <alignment horizontal="right"/>
    </xf>
    <xf numFmtId="164" fontId="3" fillId="0" borderId="2" xfId="0" applyNumberFormat="1" applyFont="1" applyBorder="1" applyAlignment="1">
      <alignment horizontal="right"/>
    </xf>
    <xf numFmtId="164" fontId="3" fillId="0" borderId="3" xfId="0" applyNumberFormat="1" applyFont="1" applyBorder="1" applyAlignment="1">
      <alignment horizontal="right"/>
    </xf>
    <xf numFmtId="0" fontId="3" fillId="6" borderId="6" xfId="0" applyFont="1" applyFill="1" applyBorder="1" applyAlignment="1">
      <alignment horizontal="right"/>
    </xf>
    <xf numFmtId="0" fontId="5" fillId="3" borderId="1" xfId="0" applyFont="1" applyFill="1" applyBorder="1" applyAlignment="1">
      <alignment horizontal="center" wrapText="1"/>
    </xf>
    <xf numFmtId="0" fontId="3" fillId="6" borderId="0" xfId="0" applyFont="1" applyFill="1"/>
    <xf numFmtId="164" fontId="3" fillId="6" borderId="0" xfId="0" applyNumberFormat="1" applyFont="1" applyFill="1"/>
    <xf numFmtId="0" fontId="3" fillId="0" borderId="4" xfId="0" applyFont="1" applyBorder="1" applyAlignment="1">
      <alignment horizontal="right"/>
    </xf>
    <xf numFmtId="0" fontId="3" fillId="2" borderId="1" xfId="0" applyFont="1" applyFill="1" applyBorder="1" applyAlignment="1" applyProtection="1">
      <alignment horizontal="center"/>
      <protection locked="0"/>
    </xf>
    <xf numFmtId="0" fontId="3" fillId="2" borderId="1" xfId="0" applyFont="1" applyFill="1" applyBorder="1" applyProtection="1">
      <protection locked="0"/>
    </xf>
    <xf numFmtId="164" fontId="3" fillId="2" borderId="1" xfId="0" applyNumberFormat="1" applyFont="1" applyFill="1" applyBorder="1" applyProtection="1">
      <protection locked="0"/>
    </xf>
    <xf numFmtId="0" fontId="3" fillId="7" borderId="7" xfId="0" applyFont="1" applyFill="1" applyBorder="1" applyAlignment="1">
      <alignment horizontal="left" wrapText="1"/>
    </xf>
    <xf numFmtId="0" fontId="3" fillId="7" borderId="0" xfId="0" applyFont="1" applyFill="1"/>
    <xf numFmtId="0" fontId="3" fillId="7" borderId="7" xfId="0" applyFont="1" applyFill="1" applyBorder="1"/>
    <xf numFmtId="0" fontId="4" fillId="7" borderId="7" xfId="0" applyFont="1" applyFill="1" applyBorder="1" applyAlignment="1">
      <alignment horizontal="left" wrapText="1"/>
    </xf>
    <xf numFmtId="0" fontId="3" fillId="7" borderId="7" xfId="0" applyFont="1" applyFill="1" applyBorder="1" applyAlignment="1">
      <alignment wrapText="1"/>
    </xf>
    <xf numFmtId="0" fontId="9" fillId="7" borderId="7" xfId="0" applyFont="1" applyFill="1" applyBorder="1" applyAlignment="1">
      <alignment wrapText="1"/>
    </xf>
    <xf numFmtId="0" fontId="11" fillId="7" borderId="3" xfId="0" applyFont="1" applyFill="1" applyBorder="1" applyAlignment="1">
      <alignment wrapText="1"/>
    </xf>
    <xf numFmtId="0" fontId="3" fillId="7" borderId="0" xfId="0" applyFont="1" applyFill="1" applyAlignment="1">
      <alignment wrapText="1"/>
    </xf>
    <xf numFmtId="0" fontId="3" fillId="8" borderId="15" xfId="0" applyFont="1" applyFill="1" applyBorder="1"/>
    <xf numFmtId="0" fontId="3" fillId="8" borderId="16" xfId="0" applyFont="1" applyFill="1" applyBorder="1"/>
    <xf numFmtId="0" fontId="3" fillId="8" borderId="17" xfId="0" applyFont="1" applyFill="1" applyBorder="1"/>
    <xf numFmtId="164" fontId="3" fillId="7" borderId="0" xfId="0" applyNumberFormat="1" applyFont="1" applyFill="1" applyBorder="1"/>
    <xf numFmtId="0" fontId="2" fillId="7" borderId="0" xfId="0" applyFont="1" applyFill="1" applyBorder="1" applyAlignment="1">
      <alignment horizontal="center"/>
    </xf>
    <xf numFmtId="0" fontId="3" fillId="7" borderId="0" xfId="0" applyFont="1" applyFill="1" applyBorder="1"/>
    <xf numFmtId="1" fontId="3" fillId="7" borderId="0" xfId="0" applyNumberFormat="1" applyFont="1" applyFill="1" applyBorder="1"/>
    <xf numFmtId="2" fontId="3" fillId="7" borderId="0" xfId="0" applyNumberFormat="1" applyFont="1" applyFill="1" applyBorder="1"/>
    <xf numFmtId="0" fontId="3" fillId="7" borderId="0" xfId="0" applyFont="1" applyFill="1" applyBorder="1" applyAlignment="1">
      <alignment horizontal="center"/>
    </xf>
    <xf numFmtId="0" fontId="4" fillId="7" borderId="0" xfId="0" applyFont="1" applyFill="1" applyBorder="1" applyAlignment="1">
      <alignment horizontal="center"/>
    </xf>
    <xf numFmtId="0" fontId="3" fillId="7" borderId="0" xfId="0" applyFont="1" applyFill="1" applyAlignment="1"/>
    <xf numFmtId="0" fontId="3" fillId="7" borderId="0" xfId="0" applyFont="1" applyFill="1" applyBorder="1" applyAlignment="1">
      <alignment horizontal="right"/>
    </xf>
    <xf numFmtId="0" fontId="6" fillId="7" borderId="0" xfId="0" applyFont="1" applyFill="1" applyBorder="1" applyAlignment="1"/>
    <xf numFmtId="164" fontId="3" fillId="7" borderId="0" xfId="0" applyNumberFormat="1" applyFont="1" applyFill="1"/>
    <xf numFmtId="165" fontId="3" fillId="7" borderId="0" xfId="0" applyNumberFormat="1" applyFont="1" applyFill="1" applyBorder="1"/>
    <xf numFmtId="0" fontId="3" fillId="7" borderId="0" xfId="0" applyFont="1" applyFill="1" applyAlignment="1">
      <alignment horizontal="center"/>
    </xf>
    <xf numFmtId="0" fontId="4" fillId="7" borderId="0" xfId="0" applyFont="1" applyFill="1" applyAlignment="1">
      <alignment horizontal="center"/>
    </xf>
    <xf numFmtId="164" fontId="4" fillId="2" borderId="1" xfId="0" applyNumberFormat="1" applyFont="1" applyFill="1" applyBorder="1" applyProtection="1">
      <protection locked="0"/>
    </xf>
    <xf numFmtId="3" fontId="4" fillId="2" borderId="1" xfId="0" applyNumberFormat="1" applyFont="1" applyFill="1" applyBorder="1" applyProtection="1">
      <protection locked="0"/>
    </xf>
    <xf numFmtId="3" fontId="3" fillId="0" borderId="1" xfId="0" applyNumberFormat="1" applyFont="1" applyFill="1" applyBorder="1"/>
    <xf numFmtId="164" fontId="4" fillId="2" borderId="2" xfId="0" applyNumberFormat="1" applyFont="1" applyFill="1" applyBorder="1" applyProtection="1">
      <protection locked="0"/>
    </xf>
    <xf numFmtId="164" fontId="4" fillId="2" borderId="3" xfId="0" applyNumberFormat="1" applyFont="1" applyFill="1" applyBorder="1" applyProtection="1">
      <protection locked="0"/>
    </xf>
    <xf numFmtId="3" fontId="3" fillId="0" borderId="1" xfId="0" applyNumberFormat="1" applyFont="1" applyBorder="1" applyAlignment="1">
      <alignment horizontal="right"/>
    </xf>
    <xf numFmtId="3" fontId="3" fillId="0" borderId="2" xfId="0" applyNumberFormat="1" applyFont="1" applyFill="1" applyBorder="1"/>
    <xf numFmtId="3" fontId="3" fillId="0" borderId="1" xfId="0" applyNumberFormat="1" applyFont="1" applyFill="1" applyBorder="1" applyAlignment="1">
      <alignment horizontal="right"/>
    </xf>
    <xf numFmtId="0" fontId="3" fillId="7" borderId="2" xfId="0" applyFont="1" applyFill="1" applyBorder="1" applyAlignment="1">
      <alignment horizontal="left" wrapText="1"/>
    </xf>
    <xf numFmtId="0" fontId="13" fillId="0" borderId="7" xfId="1" applyFont="1" applyBorder="1" applyAlignment="1">
      <alignment wrapText="1"/>
    </xf>
    <xf numFmtId="0" fontId="11" fillId="7" borderId="7" xfId="0" applyFont="1" applyFill="1" applyBorder="1" applyAlignment="1">
      <alignment horizontal="left" wrapText="1"/>
    </xf>
    <xf numFmtId="0" fontId="3" fillId="7" borderId="0" xfId="0" applyNumberFormat="1" applyFont="1" applyFill="1"/>
    <xf numFmtId="0" fontId="3" fillId="7" borderId="11" xfId="0" applyFont="1" applyFill="1" applyBorder="1"/>
    <xf numFmtId="0" fontId="2" fillId="7" borderId="0" xfId="0" applyNumberFormat="1" applyFont="1" applyFill="1" applyBorder="1" applyAlignment="1">
      <alignment horizontal="center"/>
    </xf>
    <xf numFmtId="0" fontId="3" fillId="7" borderId="0" xfId="0" applyNumberFormat="1" applyFont="1" applyFill="1" applyBorder="1"/>
    <xf numFmtId="1" fontId="3" fillId="7" borderId="9" xfId="0" applyNumberFormat="1" applyFont="1" applyFill="1" applyBorder="1" applyAlignment="1">
      <alignment horizontal="right"/>
    </xf>
    <xf numFmtId="0" fontId="4" fillId="2" borderId="1" xfId="0" applyFont="1" applyFill="1" applyBorder="1" applyProtection="1">
      <protection locked="0"/>
    </xf>
    <xf numFmtId="166" fontId="4" fillId="2" borderId="8" xfId="2" applyNumberFormat="1" applyFont="1" applyFill="1" applyBorder="1" applyAlignment="1" applyProtection="1">
      <alignment horizontal="right"/>
      <protection locked="0"/>
    </xf>
    <xf numFmtId="166" fontId="4" fillId="2" borderId="9" xfId="2" applyNumberFormat="1" applyFont="1" applyFill="1" applyBorder="1" applyAlignment="1" applyProtection="1">
      <alignment horizontal="right"/>
      <protection locked="0"/>
    </xf>
    <xf numFmtId="166" fontId="4" fillId="2" borderId="1" xfId="2" applyNumberFormat="1" applyFont="1" applyFill="1" applyBorder="1" applyAlignment="1" applyProtection="1">
      <alignment horizontal="right"/>
      <protection locked="0"/>
    </xf>
    <xf numFmtId="166" fontId="4" fillId="2" borderId="3" xfId="2" applyNumberFormat="1" applyFont="1" applyFill="1" applyBorder="1" applyAlignment="1" applyProtection="1">
      <alignment horizontal="right"/>
      <protection locked="0"/>
    </xf>
    <xf numFmtId="166" fontId="4" fillId="2" borderId="2" xfId="2" applyNumberFormat="1" applyFont="1" applyFill="1" applyBorder="1" applyAlignment="1" applyProtection="1">
      <alignment horizontal="right"/>
      <protection locked="0"/>
    </xf>
    <xf numFmtId="164" fontId="4" fillId="2" borderId="1" xfId="0" applyNumberFormat="1" applyFont="1" applyFill="1" applyBorder="1" applyAlignment="1" applyProtection="1">
      <alignment horizontal="right"/>
      <protection locked="0"/>
    </xf>
    <xf numFmtId="164" fontId="4" fillId="2" borderId="2" xfId="0" applyNumberFormat="1" applyFont="1" applyFill="1" applyBorder="1" applyAlignment="1" applyProtection="1">
      <alignment horizontal="right"/>
      <protection locked="0"/>
    </xf>
    <xf numFmtId="164" fontId="4" fillId="2" borderId="3" xfId="0" applyNumberFormat="1" applyFont="1" applyFill="1" applyBorder="1" applyAlignment="1" applyProtection="1">
      <alignment horizontal="right"/>
      <protection locked="0"/>
    </xf>
    <xf numFmtId="166" fontId="3" fillId="0" borderId="1" xfId="2" applyNumberFormat="1" applyFont="1" applyFill="1" applyBorder="1"/>
    <xf numFmtId="166" fontId="3" fillId="0" borderId="1" xfId="2" applyNumberFormat="1" applyFont="1" applyBorder="1" applyAlignment="1">
      <alignment horizontal="right"/>
    </xf>
    <xf numFmtId="166" fontId="3" fillId="2" borderId="1" xfId="2" applyNumberFormat="1" applyFont="1" applyFill="1" applyBorder="1" applyProtection="1">
      <protection locked="0"/>
    </xf>
    <xf numFmtId="166" fontId="4" fillId="2" borderId="1" xfId="2" applyNumberFormat="1" applyFont="1" applyFill="1" applyBorder="1" applyProtection="1">
      <protection locked="0"/>
    </xf>
    <xf numFmtId="0" fontId="6" fillId="3" borderId="1" xfId="0" applyFont="1" applyFill="1" applyBorder="1" applyAlignment="1">
      <alignment horizontal="center" wrapText="1"/>
    </xf>
    <xf numFmtId="0" fontId="6" fillId="3" borderId="1" xfId="0" applyFont="1" applyFill="1" applyBorder="1" applyAlignment="1">
      <alignment horizontal="center"/>
    </xf>
    <xf numFmtId="0" fontId="6" fillId="3" borderId="4" xfId="0" applyFont="1" applyFill="1" applyBorder="1" applyAlignment="1">
      <alignment horizontal="center"/>
    </xf>
    <xf numFmtId="0" fontId="6" fillId="3" borderId="5" xfId="0" applyFont="1" applyFill="1" applyBorder="1" applyAlignment="1">
      <alignment horizontal="center"/>
    </xf>
    <xf numFmtId="0" fontId="6" fillId="3" borderId="2" xfId="0" applyFont="1" applyFill="1" applyBorder="1" applyAlignment="1">
      <alignment horizontal="center" wrapText="1"/>
    </xf>
    <xf numFmtId="0" fontId="6" fillId="3" borderId="3" xfId="0" applyFont="1" applyFill="1" applyBorder="1" applyAlignment="1">
      <alignment horizontal="center" wrapText="1"/>
    </xf>
    <xf numFmtId="0" fontId="6" fillId="3" borderId="2" xfId="0" applyFont="1" applyFill="1" applyBorder="1" applyAlignment="1">
      <alignment horizontal="center"/>
    </xf>
    <xf numFmtId="0" fontId="6" fillId="3" borderId="3" xfId="0" applyFont="1" applyFill="1" applyBorder="1" applyAlignment="1">
      <alignment horizontal="center"/>
    </xf>
    <xf numFmtId="164" fontId="3" fillId="0" borderId="1" xfId="0" applyNumberFormat="1" applyFont="1" applyBorder="1" applyAlignment="1">
      <alignment horizontal="right"/>
    </xf>
    <xf numFmtId="0" fontId="3" fillId="0" borderId="1" xfId="0" applyFont="1" applyFill="1" applyBorder="1" applyAlignment="1">
      <alignment horizontal="right"/>
    </xf>
    <xf numFmtId="0" fontId="3" fillId="0" borderId="3" xfId="0" applyFont="1" applyFill="1" applyBorder="1" applyAlignment="1">
      <alignment horizontal="right"/>
    </xf>
    <xf numFmtId="0" fontId="3" fillId="0" borderId="1" xfId="0" applyFont="1" applyBorder="1" applyAlignment="1">
      <alignment horizontal="right"/>
    </xf>
    <xf numFmtId="0" fontId="4" fillId="5" borderId="1" xfId="0" applyFont="1" applyFill="1" applyBorder="1" applyAlignment="1">
      <alignment horizontal="center"/>
    </xf>
    <xf numFmtId="0" fontId="5" fillId="3" borderId="1" xfId="0" applyFont="1" applyFill="1" applyBorder="1" applyAlignment="1">
      <alignment horizontal="center"/>
    </xf>
    <xf numFmtId="0" fontId="3" fillId="0" borderId="4" xfId="0" applyFont="1" applyBorder="1" applyAlignment="1">
      <alignment horizontal="right"/>
    </xf>
    <xf numFmtId="0" fontId="3" fillId="0" borderId="5" xfId="0" applyFont="1" applyBorder="1" applyAlignment="1">
      <alignment horizontal="right"/>
    </xf>
    <xf numFmtId="0" fontId="7" fillId="3" borderId="1" xfId="0" applyFont="1" applyFill="1" applyBorder="1" applyAlignment="1">
      <alignment horizontal="center"/>
    </xf>
    <xf numFmtId="0" fontId="8" fillId="3" borderId="2" xfId="0" applyFont="1" applyFill="1" applyBorder="1" applyAlignment="1">
      <alignment horizontal="center"/>
    </xf>
    <xf numFmtId="0" fontId="8" fillId="3" borderId="3" xfId="0" applyFont="1" applyFill="1" applyBorder="1" applyAlignment="1">
      <alignment horizontal="center"/>
    </xf>
    <xf numFmtId="0" fontId="7" fillId="3" borderId="2" xfId="0" applyFont="1" applyFill="1" applyBorder="1" applyAlignment="1">
      <alignment horizontal="center"/>
    </xf>
    <xf numFmtId="0" fontId="7" fillId="3" borderId="3" xfId="0" applyFont="1" applyFill="1" applyBorder="1" applyAlignment="1">
      <alignment horizontal="center"/>
    </xf>
    <xf numFmtId="1" fontId="3" fillId="0" borderId="2" xfId="0" applyNumberFormat="1" applyFont="1" applyFill="1" applyBorder="1" applyAlignment="1">
      <alignment horizontal="right"/>
    </xf>
    <xf numFmtId="1" fontId="3" fillId="0" borderId="3" xfId="0" applyNumberFormat="1" applyFont="1" applyFill="1" applyBorder="1" applyAlignment="1">
      <alignment horizontal="right"/>
    </xf>
    <xf numFmtId="0" fontId="7" fillId="3" borderId="7" xfId="0" applyFont="1" applyFill="1" applyBorder="1" applyAlignment="1">
      <alignment horizontal="center"/>
    </xf>
    <xf numFmtId="0" fontId="6" fillId="3" borderId="7" xfId="0" applyFont="1" applyFill="1" applyBorder="1" applyAlignment="1">
      <alignment horizontal="center"/>
    </xf>
    <xf numFmtId="0" fontId="6" fillId="3" borderId="7" xfId="0" applyFont="1" applyFill="1" applyBorder="1" applyAlignment="1">
      <alignment horizontal="center" wrapText="1"/>
    </xf>
    <xf numFmtId="166" fontId="4" fillId="2" borderId="2" xfId="2" applyNumberFormat="1" applyFont="1" applyFill="1" applyBorder="1" applyAlignment="1" applyProtection="1">
      <alignment horizontal="right"/>
      <protection locked="0"/>
    </xf>
    <xf numFmtId="166" fontId="4" fillId="2" borderId="3" xfId="2" applyNumberFormat="1" applyFont="1" applyFill="1" applyBorder="1" applyAlignment="1" applyProtection="1">
      <alignment horizontal="right"/>
      <protection locked="0"/>
    </xf>
    <xf numFmtId="0" fontId="4" fillId="5" borderId="4" xfId="0" applyFont="1" applyFill="1" applyBorder="1" applyAlignment="1">
      <alignment horizontal="center"/>
    </xf>
    <xf numFmtId="0" fontId="4" fillId="5" borderId="5" xfId="0" applyFont="1" applyFill="1" applyBorder="1" applyAlignment="1">
      <alignment horizontal="center"/>
    </xf>
    <xf numFmtId="0" fontId="3" fillId="0" borderId="4" xfId="0" applyFont="1" applyFill="1" applyBorder="1" applyAlignment="1">
      <alignment horizontal="right"/>
    </xf>
    <xf numFmtId="0" fontId="3" fillId="0" borderId="5" xfId="0" applyFont="1" applyFill="1" applyBorder="1" applyAlignment="1">
      <alignment horizontal="right"/>
    </xf>
  </cellXfs>
  <cellStyles count="3">
    <cellStyle name="Comma" xfId="2" builtinId="3"/>
    <cellStyle name="Hyperlink" xfId="1" builtinId="8"/>
    <cellStyle name="Normal" xfId="0" builtinId="0"/>
  </cellStyles>
  <dxfs count="0"/>
  <tableStyles count="0" defaultTableStyle="TableStyleMedium2" defaultPivotStyle="PivotStyleLight16"/>
  <colors>
    <mruColors>
      <color rgb="FFCCCCFF"/>
      <color rgb="FFFF99CC"/>
      <color rgb="FF99A2A2"/>
      <color rgb="FFD1DE3F"/>
      <color rgb="FF94AE4A"/>
      <color rgb="FF008183"/>
      <color rgb="FF18453B"/>
      <color rgb="FF18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3175</xdr:colOff>
      <xdr:row>0</xdr:row>
      <xdr:rowOff>237068</xdr:rowOff>
    </xdr:from>
    <xdr:to>
      <xdr:col>12</xdr:col>
      <xdr:colOff>394807</xdr:colOff>
      <xdr:row>23</xdr:row>
      <xdr:rowOff>271991</xdr:rowOff>
    </xdr:to>
    <xdr:pic>
      <xdr:nvPicPr>
        <xdr:cNvPr id="3" name="Picture 2">
          <a:extLst>
            <a:ext uri="{FF2B5EF4-FFF2-40B4-BE49-F238E27FC236}">
              <a16:creationId xmlns:a16="http://schemas.microsoft.com/office/drawing/2014/main" id="{9E01213C-8F17-4239-84E7-5889E926DF7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94850" y="237068"/>
          <a:ext cx="6725757" cy="6645273"/>
        </a:xfrm>
        <a:prstGeom prst="rect">
          <a:avLst/>
        </a:prstGeom>
        <a:ln w="6350">
          <a:solidFill>
            <a:schemeClr val="tx1"/>
          </a:solidFill>
        </a:ln>
      </xdr:spPr>
    </xdr:pic>
    <xdr:clientData/>
  </xdr:twoCellAnchor>
  <xdr:twoCellAnchor editAs="oneCell">
    <xdr:from>
      <xdr:col>2</xdr:col>
      <xdr:colOff>8467</xdr:colOff>
      <xdr:row>24</xdr:row>
      <xdr:rowOff>194733</xdr:rowOff>
    </xdr:from>
    <xdr:to>
      <xdr:col>14</xdr:col>
      <xdr:colOff>179917</xdr:colOff>
      <xdr:row>41</xdr:row>
      <xdr:rowOff>96365</xdr:rowOff>
    </xdr:to>
    <xdr:pic>
      <xdr:nvPicPr>
        <xdr:cNvPr id="5" name="Picture 4">
          <a:extLst>
            <a:ext uri="{FF2B5EF4-FFF2-40B4-BE49-F238E27FC236}">
              <a16:creationId xmlns:a16="http://schemas.microsoft.com/office/drawing/2014/main" id="{CD9E0A26-B8CC-4BC7-9A0C-4520A34F28D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01200" y="6959600"/>
          <a:ext cx="7740650" cy="4867332"/>
        </a:xfrm>
        <a:prstGeom prst="rect">
          <a:avLst/>
        </a:prstGeom>
        <a:ln w="6350">
          <a:solidFill>
            <a:schemeClr val="tx1"/>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ms.usda.gov/mnreports/lsddcb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ED5E7A-AA35-48C0-9CC6-95EE2429D373}">
  <sheetPr>
    <tabColor theme="9" tint="0.59999389629810485"/>
  </sheetPr>
  <dimension ref="A1:AP201"/>
  <sheetViews>
    <sheetView topLeftCell="A7" zoomScaleNormal="100" workbookViewId="0">
      <selection activeCell="A22" sqref="A22"/>
    </sheetView>
  </sheetViews>
  <sheetFormatPr defaultColWidth="8.7265625" defaultRowHeight="15.5" x14ac:dyDescent="0.35"/>
  <cols>
    <col min="1" max="1" width="128.54296875" style="20" customWidth="1"/>
    <col min="2" max="2" width="3.90625" style="1" customWidth="1"/>
    <col min="3" max="26" width="8.7265625" style="1"/>
    <col min="27" max="42" width="8.7265625" style="51"/>
    <col min="43" max="16384" width="8.7265625" style="1"/>
  </cols>
  <sheetData>
    <row r="1" spans="1:26" ht="19" thickBot="1" x14ac:dyDescent="0.5">
      <c r="A1" s="43" t="s">
        <v>83</v>
      </c>
      <c r="B1" s="51"/>
      <c r="C1" s="58" t="s">
        <v>102</v>
      </c>
      <c r="D1" s="59"/>
      <c r="E1" s="60"/>
      <c r="F1" s="51"/>
      <c r="G1" s="51"/>
      <c r="H1" s="51"/>
      <c r="I1" s="51"/>
      <c r="J1" s="51"/>
      <c r="K1" s="51"/>
      <c r="L1" s="51"/>
      <c r="M1" s="51"/>
      <c r="N1" s="51"/>
      <c r="O1" s="51"/>
      <c r="P1" s="51"/>
      <c r="Q1" s="51"/>
      <c r="R1" s="51"/>
      <c r="S1" s="51"/>
      <c r="T1" s="51"/>
      <c r="U1" s="51"/>
      <c r="V1" s="51"/>
      <c r="W1" s="51"/>
      <c r="X1" s="51"/>
      <c r="Y1" s="51"/>
      <c r="Z1" s="51"/>
    </row>
    <row r="2" spans="1:26" ht="31" x14ac:dyDescent="0.35">
      <c r="A2" s="83" t="s">
        <v>99</v>
      </c>
      <c r="B2" s="51"/>
      <c r="C2" s="51"/>
      <c r="D2" s="51"/>
      <c r="E2" s="51"/>
      <c r="F2" s="51"/>
      <c r="G2" s="51"/>
      <c r="H2" s="51"/>
      <c r="I2" s="51"/>
      <c r="J2" s="51"/>
      <c r="K2" s="51"/>
      <c r="L2" s="51"/>
      <c r="M2" s="51"/>
      <c r="N2" s="51"/>
      <c r="O2" s="51"/>
      <c r="P2" s="51"/>
      <c r="Q2" s="51"/>
      <c r="R2" s="51"/>
      <c r="S2" s="51"/>
      <c r="T2" s="51"/>
      <c r="U2" s="51"/>
      <c r="V2" s="51"/>
      <c r="W2" s="51"/>
      <c r="X2" s="51"/>
      <c r="Y2" s="51"/>
      <c r="Z2" s="51"/>
    </row>
    <row r="3" spans="1:26" x14ac:dyDescent="0.35">
      <c r="A3" s="52"/>
      <c r="B3" s="51"/>
      <c r="C3" s="51"/>
      <c r="D3" s="51"/>
      <c r="E3" s="51"/>
      <c r="F3" s="51"/>
      <c r="G3" s="51"/>
      <c r="H3" s="51"/>
      <c r="I3" s="51"/>
      <c r="J3" s="51"/>
      <c r="K3" s="51"/>
      <c r="L3" s="51"/>
      <c r="M3" s="51"/>
      <c r="N3" s="51"/>
      <c r="O3" s="51"/>
      <c r="P3" s="51"/>
      <c r="Q3" s="51"/>
      <c r="R3" s="51"/>
      <c r="S3" s="51"/>
      <c r="T3" s="51"/>
      <c r="U3" s="51"/>
      <c r="V3" s="51"/>
      <c r="W3" s="51"/>
      <c r="X3" s="51"/>
      <c r="Y3" s="51"/>
      <c r="Z3" s="51"/>
    </row>
    <row r="4" spans="1:26" x14ac:dyDescent="0.35">
      <c r="A4" s="50" t="s">
        <v>104</v>
      </c>
      <c r="B4" s="51"/>
      <c r="C4" s="51"/>
      <c r="D4" s="51"/>
      <c r="E4" s="51"/>
      <c r="F4" s="51"/>
      <c r="G4" s="51"/>
      <c r="H4" s="51"/>
      <c r="I4" s="51"/>
      <c r="J4" s="51"/>
      <c r="K4" s="51"/>
      <c r="L4" s="51"/>
      <c r="M4" s="51"/>
      <c r="N4" s="51"/>
      <c r="O4" s="51"/>
      <c r="P4" s="51"/>
      <c r="Q4" s="51"/>
      <c r="R4" s="51"/>
      <c r="S4" s="51"/>
      <c r="T4" s="51"/>
      <c r="U4" s="51"/>
      <c r="V4" s="51"/>
      <c r="W4" s="51"/>
      <c r="X4" s="51"/>
      <c r="Y4" s="51"/>
      <c r="Z4" s="51"/>
    </row>
    <row r="5" spans="1:26" x14ac:dyDescent="0.35">
      <c r="A5" s="53" t="s">
        <v>105</v>
      </c>
      <c r="B5" s="51"/>
      <c r="C5" s="51"/>
      <c r="D5" s="51"/>
      <c r="E5" s="51"/>
      <c r="F5" s="51"/>
      <c r="G5" s="51"/>
      <c r="H5" s="51"/>
      <c r="I5" s="51"/>
      <c r="J5" s="51"/>
      <c r="K5" s="51"/>
      <c r="L5" s="51"/>
      <c r="M5" s="51"/>
      <c r="N5" s="51"/>
      <c r="O5" s="51"/>
      <c r="P5" s="51"/>
      <c r="Q5" s="51"/>
      <c r="R5" s="51"/>
      <c r="S5" s="51"/>
      <c r="T5" s="51"/>
      <c r="U5" s="51"/>
      <c r="V5" s="51"/>
      <c r="W5" s="51"/>
      <c r="X5" s="51"/>
      <c r="Y5" s="51"/>
      <c r="Z5" s="51"/>
    </row>
    <row r="6" spans="1:26" x14ac:dyDescent="0.35">
      <c r="A6" s="85" t="s">
        <v>106</v>
      </c>
      <c r="B6" s="51"/>
      <c r="C6" s="51"/>
      <c r="D6" s="51"/>
      <c r="E6" s="51"/>
      <c r="F6" s="51"/>
      <c r="G6" s="51"/>
      <c r="H6" s="51"/>
      <c r="I6" s="51"/>
      <c r="J6" s="51"/>
      <c r="K6" s="51"/>
      <c r="L6" s="51"/>
      <c r="M6" s="51"/>
      <c r="N6" s="51"/>
      <c r="O6" s="51"/>
      <c r="P6" s="51"/>
      <c r="Q6" s="51"/>
      <c r="R6" s="51"/>
      <c r="S6" s="51"/>
      <c r="T6" s="51"/>
      <c r="U6" s="51"/>
      <c r="V6" s="51"/>
      <c r="W6" s="51"/>
      <c r="X6" s="51"/>
      <c r="Y6" s="51"/>
      <c r="Z6" s="51"/>
    </row>
    <row r="7" spans="1:26" x14ac:dyDescent="0.35">
      <c r="A7" s="54"/>
      <c r="B7" s="51"/>
      <c r="C7" s="51"/>
      <c r="D7" s="51"/>
      <c r="E7" s="51"/>
      <c r="F7" s="51"/>
      <c r="G7" s="51"/>
      <c r="H7" s="51"/>
      <c r="I7" s="51"/>
      <c r="J7" s="51"/>
      <c r="K7" s="51"/>
      <c r="L7" s="51"/>
      <c r="M7" s="51"/>
      <c r="N7" s="51"/>
      <c r="O7" s="51"/>
      <c r="P7" s="51"/>
      <c r="Q7" s="51"/>
      <c r="R7" s="51"/>
      <c r="S7" s="51"/>
      <c r="T7" s="51"/>
      <c r="U7" s="51"/>
      <c r="V7" s="51"/>
      <c r="W7" s="51"/>
      <c r="X7" s="51"/>
      <c r="Y7" s="51"/>
      <c r="Z7" s="51"/>
    </row>
    <row r="8" spans="1:26" x14ac:dyDescent="0.35">
      <c r="A8" s="55" t="s">
        <v>65</v>
      </c>
      <c r="B8" s="51"/>
      <c r="C8" s="51"/>
      <c r="D8" s="51"/>
      <c r="E8" s="51"/>
      <c r="F8" s="51"/>
      <c r="G8" s="51"/>
      <c r="H8" s="51"/>
      <c r="I8" s="51"/>
      <c r="J8" s="51"/>
      <c r="K8" s="51"/>
      <c r="L8" s="51"/>
      <c r="M8" s="51"/>
      <c r="N8" s="51"/>
      <c r="O8" s="51"/>
      <c r="P8" s="51"/>
      <c r="Q8" s="51"/>
      <c r="R8" s="51"/>
      <c r="S8" s="51"/>
      <c r="T8" s="51"/>
      <c r="U8" s="51"/>
      <c r="V8" s="51"/>
      <c r="W8" s="51"/>
      <c r="X8" s="51"/>
      <c r="Y8" s="51"/>
      <c r="Z8" s="51"/>
    </row>
    <row r="9" spans="1:26" ht="31" x14ac:dyDescent="0.35">
      <c r="A9" s="54" t="s">
        <v>64</v>
      </c>
      <c r="B9" s="51"/>
      <c r="C9" s="51"/>
      <c r="D9" s="51"/>
      <c r="E9" s="51"/>
      <c r="F9" s="51"/>
      <c r="G9" s="51"/>
      <c r="H9" s="51"/>
      <c r="I9" s="51"/>
      <c r="J9" s="51"/>
      <c r="K9" s="51"/>
      <c r="L9" s="51"/>
      <c r="M9" s="51"/>
      <c r="N9" s="51"/>
      <c r="O9" s="51"/>
      <c r="P9" s="51"/>
      <c r="Q9" s="51"/>
      <c r="R9" s="51"/>
      <c r="S9" s="51"/>
      <c r="T9" s="51"/>
      <c r="U9" s="51"/>
      <c r="V9" s="51"/>
      <c r="W9" s="51"/>
      <c r="X9" s="51"/>
      <c r="Y9" s="51"/>
      <c r="Z9" s="51"/>
    </row>
    <row r="10" spans="1:26" ht="31" x14ac:dyDescent="0.35">
      <c r="A10" s="54" t="s">
        <v>90</v>
      </c>
      <c r="B10" s="51"/>
      <c r="C10" s="51"/>
      <c r="D10" s="51"/>
      <c r="E10" s="51"/>
      <c r="F10" s="51"/>
      <c r="G10" s="51"/>
      <c r="H10" s="51"/>
      <c r="I10" s="51"/>
      <c r="J10" s="51"/>
      <c r="K10" s="51"/>
      <c r="L10" s="51"/>
      <c r="M10" s="51"/>
      <c r="N10" s="51"/>
      <c r="O10" s="51"/>
      <c r="P10" s="51"/>
      <c r="Q10" s="51"/>
      <c r="R10" s="51"/>
      <c r="S10" s="51"/>
      <c r="T10" s="51"/>
      <c r="U10" s="51"/>
      <c r="V10" s="51"/>
      <c r="W10" s="51"/>
      <c r="X10" s="51"/>
      <c r="Y10" s="51"/>
      <c r="Z10" s="51"/>
    </row>
    <row r="11" spans="1:26" ht="31" x14ac:dyDescent="0.35">
      <c r="A11" s="54" t="s">
        <v>91</v>
      </c>
      <c r="B11" s="51"/>
      <c r="C11" s="51"/>
      <c r="D11" s="51"/>
      <c r="E11" s="51"/>
      <c r="F11" s="51"/>
      <c r="G11" s="51"/>
      <c r="H11" s="51"/>
      <c r="I11" s="51"/>
      <c r="J11" s="51"/>
      <c r="K11" s="51"/>
      <c r="L11" s="51"/>
      <c r="M11" s="51"/>
      <c r="N11" s="51"/>
      <c r="O11" s="51"/>
      <c r="P11" s="51"/>
      <c r="Q11" s="51"/>
      <c r="R11" s="51"/>
      <c r="S11" s="51"/>
      <c r="T11" s="51"/>
      <c r="U11" s="51"/>
      <c r="V11" s="51"/>
      <c r="W11" s="51"/>
      <c r="X11" s="51"/>
      <c r="Y11" s="51"/>
      <c r="Z11" s="51"/>
    </row>
    <row r="12" spans="1:26" x14ac:dyDescent="0.35">
      <c r="A12" s="54"/>
      <c r="B12" s="51"/>
      <c r="C12" s="51"/>
      <c r="D12" s="51"/>
      <c r="E12" s="51"/>
      <c r="F12" s="51"/>
      <c r="G12" s="51"/>
      <c r="H12" s="51"/>
      <c r="I12" s="51"/>
      <c r="J12" s="51"/>
      <c r="K12" s="51"/>
      <c r="L12" s="51"/>
      <c r="M12" s="51"/>
      <c r="N12" s="51"/>
      <c r="O12" s="51"/>
      <c r="P12" s="51"/>
      <c r="Q12" s="51"/>
      <c r="R12" s="51"/>
      <c r="S12" s="51"/>
      <c r="T12" s="51"/>
      <c r="U12" s="51"/>
      <c r="V12" s="51"/>
      <c r="W12" s="51"/>
      <c r="X12" s="51"/>
      <c r="Y12" s="51"/>
      <c r="Z12" s="51"/>
    </row>
    <row r="13" spans="1:26" x14ac:dyDescent="0.35">
      <c r="A13" s="55" t="s">
        <v>84</v>
      </c>
      <c r="B13" s="51"/>
      <c r="C13" s="51"/>
      <c r="D13" s="51"/>
      <c r="E13" s="51"/>
      <c r="F13" s="51"/>
      <c r="G13" s="51"/>
      <c r="H13" s="51"/>
      <c r="I13" s="51"/>
      <c r="J13" s="51"/>
      <c r="K13" s="51"/>
      <c r="L13" s="51"/>
      <c r="M13" s="51"/>
      <c r="N13" s="51"/>
      <c r="O13" s="51"/>
      <c r="P13" s="51"/>
      <c r="Q13" s="51"/>
      <c r="R13" s="51"/>
      <c r="S13" s="51"/>
      <c r="T13" s="51"/>
      <c r="U13" s="51"/>
      <c r="V13" s="51"/>
      <c r="W13" s="51"/>
      <c r="X13" s="51"/>
      <c r="Y13" s="51"/>
      <c r="Z13" s="51"/>
    </row>
    <row r="14" spans="1:26" x14ac:dyDescent="0.35">
      <c r="A14" s="54" t="s">
        <v>67</v>
      </c>
      <c r="B14" s="51"/>
      <c r="C14" s="51"/>
      <c r="D14" s="51"/>
      <c r="E14" s="51"/>
      <c r="F14" s="51"/>
      <c r="G14" s="51"/>
      <c r="H14" s="51"/>
      <c r="I14" s="51"/>
      <c r="J14" s="51"/>
      <c r="K14" s="51"/>
      <c r="L14" s="51"/>
      <c r="M14" s="51"/>
      <c r="N14" s="51"/>
      <c r="O14" s="51"/>
      <c r="P14" s="51"/>
      <c r="Q14" s="51"/>
      <c r="R14" s="51"/>
      <c r="S14" s="51"/>
      <c r="T14" s="51"/>
      <c r="U14" s="51"/>
      <c r="V14" s="51"/>
      <c r="W14" s="51"/>
      <c r="X14" s="51"/>
      <c r="Y14" s="51"/>
      <c r="Z14" s="51"/>
    </row>
    <row r="15" spans="1:26" ht="31" x14ac:dyDescent="0.35">
      <c r="A15" s="54" t="s">
        <v>92</v>
      </c>
      <c r="B15" s="51"/>
      <c r="C15" s="51"/>
      <c r="D15" s="51"/>
      <c r="E15" s="51"/>
      <c r="F15" s="51"/>
      <c r="G15" s="51"/>
      <c r="H15" s="51"/>
      <c r="I15" s="51"/>
      <c r="J15" s="51"/>
      <c r="K15" s="51"/>
      <c r="L15" s="51"/>
      <c r="M15" s="51"/>
      <c r="N15" s="51"/>
      <c r="O15" s="51"/>
      <c r="P15" s="51"/>
      <c r="Q15" s="51"/>
      <c r="R15" s="51"/>
      <c r="S15" s="51"/>
      <c r="T15" s="51"/>
      <c r="U15" s="51"/>
      <c r="V15" s="51"/>
      <c r="W15" s="51"/>
      <c r="X15" s="51"/>
      <c r="Y15" s="51"/>
      <c r="Z15" s="51"/>
    </row>
    <row r="16" spans="1:26" ht="31" x14ac:dyDescent="0.35">
      <c r="A16" s="54" t="s">
        <v>107</v>
      </c>
      <c r="B16" s="51"/>
      <c r="C16" s="51"/>
      <c r="D16" s="51"/>
      <c r="E16" s="51"/>
      <c r="F16" s="51"/>
      <c r="G16" s="51"/>
      <c r="H16" s="51"/>
      <c r="I16" s="51"/>
      <c r="J16" s="51"/>
      <c r="K16" s="51"/>
      <c r="L16" s="51"/>
      <c r="M16" s="51"/>
      <c r="N16" s="51"/>
      <c r="O16" s="51"/>
      <c r="P16" s="51"/>
      <c r="Q16" s="51"/>
      <c r="R16" s="51"/>
      <c r="S16" s="51"/>
      <c r="T16" s="51"/>
      <c r="U16" s="51"/>
      <c r="V16" s="51"/>
      <c r="W16" s="51"/>
      <c r="X16" s="51"/>
      <c r="Y16" s="51"/>
      <c r="Z16" s="51"/>
    </row>
    <row r="17" spans="1:26" ht="31" x14ac:dyDescent="0.35">
      <c r="A17" s="54" t="s">
        <v>93</v>
      </c>
      <c r="B17" s="51"/>
      <c r="C17" s="51"/>
      <c r="D17" s="51"/>
      <c r="E17" s="51"/>
      <c r="F17" s="51"/>
      <c r="G17" s="51"/>
      <c r="H17" s="51"/>
      <c r="I17" s="51"/>
      <c r="J17" s="51"/>
      <c r="K17" s="51"/>
      <c r="L17" s="51"/>
      <c r="M17" s="51"/>
      <c r="N17" s="51"/>
      <c r="O17" s="51"/>
      <c r="P17" s="51"/>
      <c r="Q17" s="51"/>
      <c r="R17" s="51"/>
      <c r="S17" s="51"/>
      <c r="T17" s="51"/>
      <c r="U17" s="51"/>
      <c r="V17" s="51"/>
      <c r="W17" s="51"/>
      <c r="X17" s="51"/>
      <c r="Y17" s="51"/>
      <c r="Z17" s="51"/>
    </row>
    <row r="18" spans="1:26" ht="32.15" customHeight="1" x14ac:dyDescent="0.35">
      <c r="A18" s="84" t="s">
        <v>103</v>
      </c>
      <c r="B18" s="51"/>
      <c r="C18" s="51"/>
      <c r="D18" s="51"/>
      <c r="E18" s="51"/>
      <c r="F18" s="51"/>
      <c r="G18" s="51"/>
      <c r="H18" s="51"/>
      <c r="I18" s="51"/>
      <c r="J18" s="51"/>
      <c r="K18" s="51"/>
      <c r="L18" s="51"/>
      <c r="M18" s="51"/>
      <c r="N18" s="51"/>
      <c r="O18" s="51"/>
      <c r="P18" s="51"/>
      <c r="Q18" s="51"/>
      <c r="R18" s="51"/>
      <c r="S18" s="51"/>
      <c r="T18" s="51"/>
      <c r="U18" s="51"/>
      <c r="V18" s="51"/>
      <c r="W18" s="51"/>
      <c r="X18" s="51"/>
      <c r="Y18" s="51"/>
      <c r="Z18" s="51"/>
    </row>
    <row r="19" spans="1:26" x14ac:dyDescent="0.35">
      <c r="A19" s="54" t="s">
        <v>69</v>
      </c>
      <c r="B19" s="51"/>
      <c r="C19" s="51"/>
      <c r="D19" s="51"/>
      <c r="E19" s="51"/>
      <c r="F19" s="51"/>
      <c r="G19" s="51"/>
      <c r="H19" s="51"/>
      <c r="I19" s="51"/>
      <c r="J19" s="51"/>
      <c r="K19" s="51"/>
      <c r="L19" s="51"/>
      <c r="M19" s="51"/>
      <c r="N19" s="51"/>
      <c r="O19" s="51"/>
      <c r="P19" s="51"/>
      <c r="Q19" s="51"/>
      <c r="R19" s="51"/>
      <c r="S19" s="51"/>
      <c r="T19" s="51"/>
      <c r="U19" s="51"/>
      <c r="V19" s="51"/>
      <c r="W19" s="51"/>
      <c r="X19" s="51"/>
      <c r="Y19" s="51"/>
      <c r="Z19" s="51"/>
    </row>
    <row r="20" spans="1:26" ht="46.5" x14ac:dyDescent="0.35">
      <c r="A20" s="54" t="s">
        <v>94</v>
      </c>
      <c r="B20" s="51"/>
      <c r="C20" s="51"/>
      <c r="D20" s="51"/>
      <c r="E20" s="51"/>
      <c r="F20" s="51"/>
      <c r="G20" s="51"/>
      <c r="H20" s="51"/>
      <c r="I20" s="51"/>
      <c r="J20" s="51"/>
      <c r="K20" s="51"/>
      <c r="L20" s="51"/>
      <c r="M20" s="51"/>
      <c r="N20" s="51"/>
      <c r="O20" s="51"/>
      <c r="P20" s="51"/>
      <c r="Q20" s="51"/>
      <c r="R20" s="51"/>
      <c r="S20" s="51"/>
      <c r="T20" s="51"/>
      <c r="U20" s="51"/>
      <c r="V20" s="51"/>
      <c r="W20" s="51"/>
      <c r="X20" s="51"/>
      <c r="Y20" s="51"/>
      <c r="Z20" s="51"/>
    </row>
    <row r="21" spans="1:26" x14ac:dyDescent="0.35">
      <c r="A21" s="54" t="s">
        <v>95</v>
      </c>
      <c r="B21" s="51"/>
      <c r="C21" s="51"/>
      <c r="D21" s="51"/>
      <c r="E21" s="51"/>
      <c r="F21" s="51"/>
      <c r="G21" s="51"/>
      <c r="H21" s="51"/>
      <c r="I21" s="51"/>
      <c r="J21" s="51"/>
      <c r="K21" s="51"/>
      <c r="L21" s="51"/>
      <c r="M21" s="51"/>
      <c r="N21" s="51"/>
      <c r="O21" s="51"/>
      <c r="P21" s="51"/>
      <c r="Q21" s="51"/>
      <c r="R21" s="51"/>
      <c r="S21" s="51"/>
      <c r="T21" s="51"/>
      <c r="U21" s="51"/>
      <c r="V21" s="51"/>
      <c r="W21" s="51"/>
      <c r="X21" s="51"/>
      <c r="Y21" s="51"/>
      <c r="Z21" s="51"/>
    </row>
    <row r="22" spans="1:26" x14ac:dyDescent="0.35">
      <c r="A22" s="52" t="s">
        <v>96</v>
      </c>
      <c r="B22" s="51"/>
      <c r="C22" s="51"/>
      <c r="D22" s="51"/>
      <c r="E22" s="51"/>
      <c r="F22" s="51"/>
      <c r="G22" s="51"/>
      <c r="H22" s="51"/>
      <c r="I22" s="51"/>
      <c r="J22" s="51"/>
      <c r="K22" s="51"/>
      <c r="L22" s="51"/>
      <c r="M22" s="51"/>
      <c r="N22" s="51"/>
      <c r="O22" s="51"/>
      <c r="P22" s="51"/>
      <c r="Q22" s="51"/>
      <c r="R22" s="51"/>
      <c r="S22" s="51"/>
      <c r="T22" s="51"/>
      <c r="U22" s="51"/>
      <c r="V22" s="51"/>
      <c r="W22" s="51"/>
      <c r="X22" s="51"/>
      <c r="Y22" s="51"/>
      <c r="Z22" s="51"/>
    </row>
    <row r="23" spans="1:26" x14ac:dyDescent="0.35">
      <c r="A23" s="54" t="s">
        <v>97</v>
      </c>
      <c r="B23" s="51"/>
      <c r="C23" s="51"/>
      <c r="D23" s="51"/>
      <c r="E23" s="51"/>
      <c r="F23" s="51"/>
      <c r="G23" s="51"/>
      <c r="H23" s="51"/>
      <c r="I23" s="51"/>
      <c r="J23" s="51"/>
      <c r="K23" s="51"/>
      <c r="L23" s="51"/>
      <c r="M23" s="51"/>
      <c r="N23" s="51"/>
      <c r="O23" s="51"/>
      <c r="P23" s="51"/>
      <c r="Q23" s="51"/>
      <c r="R23" s="51"/>
      <c r="S23" s="51"/>
      <c r="T23" s="51"/>
      <c r="U23" s="51"/>
      <c r="V23" s="51"/>
      <c r="W23" s="51"/>
      <c r="X23" s="51"/>
      <c r="Y23" s="51"/>
      <c r="Z23" s="51"/>
    </row>
    <row r="24" spans="1:26" ht="31" x14ac:dyDescent="0.35">
      <c r="A24" s="54" t="s">
        <v>98</v>
      </c>
      <c r="B24" s="51"/>
      <c r="C24" s="51"/>
      <c r="D24" s="51"/>
      <c r="E24" s="51"/>
      <c r="F24" s="51"/>
      <c r="G24" s="51"/>
      <c r="H24" s="51"/>
      <c r="I24" s="51"/>
      <c r="J24" s="51"/>
      <c r="K24" s="51"/>
      <c r="L24" s="51"/>
      <c r="M24" s="51"/>
      <c r="N24" s="51"/>
      <c r="O24" s="51"/>
      <c r="P24" s="51"/>
      <c r="Q24" s="51"/>
      <c r="R24" s="51"/>
      <c r="S24" s="51"/>
      <c r="T24" s="51"/>
      <c r="U24" s="51"/>
      <c r="V24" s="51"/>
      <c r="W24" s="51"/>
      <c r="X24" s="51"/>
      <c r="Y24" s="51"/>
      <c r="Z24" s="51"/>
    </row>
    <row r="25" spans="1:26" ht="31" x14ac:dyDescent="0.35">
      <c r="A25" s="54" t="s">
        <v>100</v>
      </c>
      <c r="B25" s="51"/>
      <c r="C25" s="51"/>
      <c r="D25" s="51"/>
      <c r="E25" s="51"/>
      <c r="F25" s="51"/>
      <c r="G25" s="51"/>
      <c r="H25" s="51"/>
      <c r="I25" s="51"/>
      <c r="J25" s="51"/>
      <c r="K25" s="51"/>
      <c r="L25" s="51"/>
      <c r="M25" s="51"/>
      <c r="N25" s="51"/>
      <c r="O25" s="51"/>
      <c r="P25" s="51"/>
      <c r="Q25" s="51"/>
      <c r="R25" s="51"/>
      <c r="S25" s="51"/>
      <c r="T25" s="51"/>
      <c r="U25" s="51"/>
      <c r="V25" s="51"/>
      <c r="W25" s="51"/>
      <c r="X25" s="51"/>
      <c r="Y25" s="51"/>
      <c r="Z25" s="51"/>
    </row>
    <row r="26" spans="1:26" x14ac:dyDescent="0.35">
      <c r="A26" s="54"/>
      <c r="B26" s="51"/>
      <c r="C26" s="51"/>
      <c r="D26" s="51"/>
      <c r="E26" s="51"/>
      <c r="F26" s="51"/>
      <c r="G26" s="51"/>
      <c r="H26" s="51"/>
      <c r="I26" s="51"/>
      <c r="J26" s="51"/>
      <c r="K26" s="51"/>
      <c r="L26" s="51"/>
      <c r="M26" s="51"/>
      <c r="N26" s="51"/>
      <c r="O26" s="51"/>
      <c r="P26" s="51"/>
      <c r="Q26" s="51"/>
      <c r="R26" s="51"/>
      <c r="S26" s="51"/>
      <c r="T26" s="51"/>
      <c r="U26" s="51"/>
      <c r="V26" s="51"/>
      <c r="W26" s="51"/>
      <c r="X26" s="51"/>
      <c r="Y26" s="51"/>
      <c r="Z26" s="51"/>
    </row>
    <row r="27" spans="1:26" x14ac:dyDescent="0.35">
      <c r="A27" s="55" t="s">
        <v>66</v>
      </c>
      <c r="B27" s="51"/>
      <c r="C27" s="51"/>
      <c r="D27" s="51"/>
      <c r="E27" s="51"/>
      <c r="F27" s="51"/>
      <c r="G27" s="51"/>
      <c r="H27" s="51"/>
      <c r="I27" s="51"/>
      <c r="J27" s="51"/>
      <c r="K27" s="51"/>
      <c r="L27" s="51"/>
      <c r="M27" s="51"/>
      <c r="N27" s="51"/>
      <c r="O27" s="51"/>
      <c r="P27" s="51"/>
      <c r="Q27" s="51"/>
      <c r="R27" s="51"/>
      <c r="S27" s="51"/>
      <c r="T27" s="51"/>
      <c r="U27" s="51"/>
      <c r="V27" s="51"/>
      <c r="W27" s="51"/>
      <c r="X27" s="51"/>
      <c r="Y27" s="51"/>
      <c r="Z27" s="51"/>
    </row>
    <row r="28" spans="1:26" ht="31" x14ac:dyDescent="0.35">
      <c r="A28" s="54" t="s">
        <v>85</v>
      </c>
      <c r="B28" s="51"/>
      <c r="C28" s="51"/>
      <c r="D28" s="51"/>
      <c r="E28" s="51"/>
      <c r="F28" s="51"/>
      <c r="G28" s="51"/>
      <c r="H28" s="51"/>
      <c r="I28" s="51"/>
      <c r="J28" s="51"/>
      <c r="K28" s="51"/>
      <c r="L28" s="51"/>
      <c r="M28" s="51"/>
      <c r="N28" s="51"/>
      <c r="O28" s="51"/>
      <c r="P28" s="51"/>
      <c r="Q28" s="51"/>
      <c r="R28" s="51"/>
      <c r="S28" s="51"/>
      <c r="T28" s="51"/>
      <c r="U28" s="51"/>
      <c r="V28" s="51"/>
      <c r="W28" s="51"/>
      <c r="X28" s="51"/>
      <c r="Y28" s="51"/>
      <c r="Z28" s="51"/>
    </row>
    <row r="29" spans="1:26" ht="31" x14ac:dyDescent="0.35">
      <c r="A29" s="54" t="s">
        <v>81</v>
      </c>
      <c r="B29" s="51"/>
      <c r="C29" s="51"/>
      <c r="D29" s="51"/>
      <c r="E29" s="51"/>
      <c r="F29" s="51"/>
      <c r="G29" s="51"/>
      <c r="H29" s="51"/>
      <c r="I29" s="51"/>
      <c r="J29" s="51"/>
      <c r="K29" s="51"/>
      <c r="L29" s="51"/>
      <c r="M29" s="51"/>
      <c r="N29" s="51"/>
      <c r="O29" s="51"/>
      <c r="P29" s="51"/>
      <c r="Q29" s="51"/>
      <c r="R29" s="51"/>
      <c r="S29" s="51"/>
      <c r="T29" s="51"/>
      <c r="U29" s="51"/>
      <c r="V29" s="51"/>
      <c r="W29" s="51"/>
      <c r="X29" s="51"/>
      <c r="Y29" s="51"/>
      <c r="Z29" s="51"/>
    </row>
    <row r="30" spans="1:26" ht="77.5" x14ac:dyDescent="0.35">
      <c r="A30" s="54" t="s">
        <v>86</v>
      </c>
      <c r="B30" s="51"/>
      <c r="C30" s="51"/>
      <c r="D30" s="51"/>
      <c r="E30" s="51"/>
      <c r="F30" s="51"/>
      <c r="G30" s="51"/>
      <c r="H30" s="51"/>
      <c r="I30" s="51"/>
      <c r="J30" s="51"/>
      <c r="K30" s="51"/>
      <c r="L30" s="51"/>
      <c r="M30" s="51"/>
      <c r="N30" s="51"/>
      <c r="O30" s="51"/>
      <c r="P30" s="51"/>
      <c r="Q30" s="51"/>
      <c r="R30" s="51"/>
      <c r="S30" s="51"/>
      <c r="T30" s="51"/>
      <c r="U30" s="51"/>
      <c r="V30" s="51"/>
      <c r="W30" s="51"/>
      <c r="X30" s="51"/>
      <c r="Y30" s="51"/>
      <c r="Z30" s="51"/>
    </row>
    <row r="31" spans="1:26" x14ac:dyDescent="0.35">
      <c r="A31" s="54"/>
      <c r="B31" s="51"/>
      <c r="C31" s="51"/>
      <c r="D31" s="51"/>
      <c r="E31" s="51"/>
      <c r="F31" s="51"/>
      <c r="G31" s="51"/>
      <c r="H31" s="51"/>
      <c r="I31" s="51"/>
      <c r="J31" s="51"/>
      <c r="K31" s="51"/>
      <c r="L31" s="51"/>
      <c r="M31" s="51"/>
      <c r="N31" s="51"/>
      <c r="O31" s="51"/>
      <c r="P31" s="51"/>
      <c r="Q31" s="51"/>
      <c r="R31" s="51"/>
      <c r="S31" s="51"/>
      <c r="T31" s="51"/>
      <c r="U31" s="51"/>
      <c r="V31" s="51"/>
      <c r="W31" s="51"/>
      <c r="X31" s="51"/>
      <c r="Y31" s="51"/>
      <c r="Z31" s="51"/>
    </row>
    <row r="32" spans="1:26" ht="46.5" x14ac:dyDescent="0.35">
      <c r="A32" s="56" t="s">
        <v>101</v>
      </c>
      <c r="B32" s="57"/>
      <c r="C32" s="57"/>
      <c r="D32" s="57"/>
      <c r="E32" s="57"/>
      <c r="F32" s="57"/>
      <c r="G32" s="57"/>
      <c r="H32" s="57"/>
      <c r="I32" s="57"/>
      <c r="J32" s="57"/>
      <c r="K32" s="57"/>
      <c r="L32" s="57"/>
      <c r="M32" s="57"/>
      <c r="N32" s="57"/>
      <c r="O32" s="57"/>
      <c r="P32" s="51"/>
      <c r="Q32" s="51"/>
      <c r="R32" s="51"/>
      <c r="S32" s="51"/>
      <c r="T32" s="51"/>
      <c r="U32" s="51"/>
      <c r="V32" s="51"/>
      <c r="W32" s="51"/>
      <c r="X32" s="51"/>
      <c r="Y32" s="51"/>
      <c r="Z32" s="51"/>
    </row>
    <row r="33" spans="1:15" s="51" customFormat="1" x14ac:dyDescent="0.35">
      <c r="A33" s="57"/>
      <c r="B33" s="57"/>
      <c r="C33" s="57"/>
      <c r="D33" s="57"/>
      <c r="E33" s="57"/>
      <c r="F33" s="57"/>
      <c r="G33" s="57"/>
      <c r="H33" s="57"/>
      <c r="I33" s="57"/>
      <c r="J33" s="57"/>
      <c r="K33" s="57"/>
      <c r="L33" s="57"/>
      <c r="M33" s="57"/>
      <c r="N33" s="57"/>
      <c r="O33" s="57"/>
    </row>
    <row r="34" spans="1:15" s="51" customFormat="1" x14ac:dyDescent="0.35">
      <c r="A34" s="57"/>
      <c r="B34" s="57"/>
      <c r="C34" s="57"/>
      <c r="D34" s="57"/>
      <c r="E34" s="57"/>
      <c r="F34" s="57"/>
      <c r="G34" s="57"/>
      <c r="H34" s="57"/>
      <c r="I34" s="57"/>
      <c r="J34" s="57"/>
      <c r="K34" s="57"/>
      <c r="L34" s="57"/>
      <c r="M34" s="57"/>
      <c r="N34" s="57"/>
      <c r="O34" s="57"/>
    </row>
    <row r="35" spans="1:15" s="51" customFormat="1" x14ac:dyDescent="0.35">
      <c r="A35" s="57"/>
    </row>
    <row r="36" spans="1:15" s="51" customFormat="1" x14ac:dyDescent="0.35">
      <c r="A36" s="57"/>
    </row>
    <row r="37" spans="1:15" s="51" customFormat="1" x14ac:dyDescent="0.35">
      <c r="A37" s="57"/>
    </row>
    <row r="38" spans="1:15" s="51" customFormat="1" x14ac:dyDescent="0.35">
      <c r="A38" s="57"/>
    </row>
    <row r="39" spans="1:15" s="51" customFormat="1" x14ac:dyDescent="0.35">
      <c r="A39" s="57"/>
    </row>
    <row r="40" spans="1:15" s="51" customFormat="1" x14ac:dyDescent="0.35">
      <c r="A40" s="57"/>
    </row>
    <row r="41" spans="1:15" s="51" customFormat="1" x14ac:dyDescent="0.35">
      <c r="A41" s="57"/>
    </row>
    <row r="42" spans="1:15" s="51" customFormat="1" x14ac:dyDescent="0.35">
      <c r="A42" s="57"/>
    </row>
    <row r="43" spans="1:15" s="51" customFormat="1" x14ac:dyDescent="0.35">
      <c r="A43" s="57"/>
    </row>
    <row r="44" spans="1:15" s="51" customFormat="1" x14ac:dyDescent="0.35">
      <c r="A44" s="57"/>
    </row>
    <row r="45" spans="1:15" s="51" customFormat="1" x14ac:dyDescent="0.35">
      <c r="A45" s="57"/>
    </row>
    <row r="46" spans="1:15" s="51" customFormat="1" x14ac:dyDescent="0.35">
      <c r="A46" s="57"/>
    </row>
    <row r="47" spans="1:15" s="51" customFormat="1" x14ac:dyDescent="0.35">
      <c r="A47" s="57"/>
    </row>
    <row r="48" spans="1:15" s="51" customFormat="1" x14ac:dyDescent="0.35">
      <c r="A48" s="57"/>
    </row>
    <row r="49" spans="1:1" s="51" customFormat="1" x14ac:dyDescent="0.35">
      <c r="A49" s="57"/>
    </row>
    <row r="50" spans="1:1" s="51" customFormat="1" x14ac:dyDescent="0.35">
      <c r="A50" s="57"/>
    </row>
    <row r="51" spans="1:1" s="51" customFormat="1" x14ac:dyDescent="0.35">
      <c r="A51" s="57"/>
    </row>
    <row r="52" spans="1:1" s="51" customFormat="1" x14ac:dyDescent="0.35">
      <c r="A52" s="57"/>
    </row>
    <row r="53" spans="1:1" s="51" customFormat="1" x14ac:dyDescent="0.35">
      <c r="A53" s="57"/>
    </row>
    <row r="54" spans="1:1" s="51" customFormat="1" x14ac:dyDescent="0.35">
      <c r="A54" s="57"/>
    </row>
    <row r="55" spans="1:1" s="51" customFormat="1" x14ac:dyDescent="0.35">
      <c r="A55" s="57"/>
    </row>
    <row r="56" spans="1:1" s="51" customFormat="1" x14ac:dyDescent="0.35">
      <c r="A56" s="57"/>
    </row>
    <row r="57" spans="1:1" s="51" customFormat="1" x14ac:dyDescent="0.35">
      <c r="A57" s="57"/>
    </row>
    <row r="58" spans="1:1" s="51" customFormat="1" x14ac:dyDescent="0.35">
      <c r="A58" s="57"/>
    </row>
    <row r="59" spans="1:1" s="51" customFormat="1" x14ac:dyDescent="0.35">
      <c r="A59" s="57"/>
    </row>
    <row r="60" spans="1:1" s="51" customFormat="1" x14ac:dyDescent="0.35">
      <c r="A60" s="57"/>
    </row>
    <row r="61" spans="1:1" s="51" customFormat="1" x14ac:dyDescent="0.35">
      <c r="A61" s="57"/>
    </row>
    <row r="62" spans="1:1" s="51" customFormat="1" x14ac:dyDescent="0.35">
      <c r="A62" s="57"/>
    </row>
    <row r="63" spans="1:1" s="51" customFormat="1" x14ac:dyDescent="0.35">
      <c r="A63" s="57"/>
    </row>
    <row r="64" spans="1:1" s="51" customFormat="1" x14ac:dyDescent="0.35">
      <c r="A64" s="57"/>
    </row>
    <row r="65" spans="1:1" s="51" customFormat="1" x14ac:dyDescent="0.35">
      <c r="A65" s="57"/>
    </row>
    <row r="66" spans="1:1" s="51" customFormat="1" x14ac:dyDescent="0.35">
      <c r="A66" s="57"/>
    </row>
    <row r="67" spans="1:1" s="51" customFormat="1" x14ac:dyDescent="0.35">
      <c r="A67" s="57"/>
    </row>
    <row r="68" spans="1:1" s="51" customFormat="1" x14ac:dyDescent="0.35">
      <c r="A68" s="57"/>
    </row>
    <row r="69" spans="1:1" s="51" customFormat="1" x14ac:dyDescent="0.35">
      <c r="A69" s="57"/>
    </row>
    <row r="70" spans="1:1" s="51" customFormat="1" x14ac:dyDescent="0.35">
      <c r="A70" s="57"/>
    </row>
    <row r="71" spans="1:1" s="51" customFormat="1" x14ac:dyDescent="0.35">
      <c r="A71" s="57"/>
    </row>
    <row r="72" spans="1:1" s="51" customFormat="1" x14ac:dyDescent="0.35">
      <c r="A72" s="57"/>
    </row>
    <row r="73" spans="1:1" s="51" customFormat="1" x14ac:dyDescent="0.35">
      <c r="A73" s="57"/>
    </row>
    <row r="74" spans="1:1" s="51" customFormat="1" x14ac:dyDescent="0.35">
      <c r="A74" s="57"/>
    </row>
    <row r="75" spans="1:1" s="51" customFormat="1" x14ac:dyDescent="0.35">
      <c r="A75" s="57"/>
    </row>
    <row r="76" spans="1:1" s="51" customFormat="1" x14ac:dyDescent="0.35">
      <c r="A76" s="57"/>
    </row>
    <row r="77" spans="1:1" s="51" customFormat="1" x14ac:dyDescent="0.35">
      <c r="A77" s="57"/>
    </row>
    <row r="78" spans="1:1" s="51" customFormat="1" x14ac:dyDescent="0.35">
      <c r="A78" s="57"/>
    </row>
    <row r="79" spans="1:1" s="51" customFormat="1" x14ac:dyDescent="0.35">
      <c r="A79" s="57"/>
    </row>
    <row r="80" spans="1:1" s="51" customFormat="1" x14ac:dyDescent="0.35">
      <c r="A80" s="57"/>
    </row>
    <row r="81" spans="1:1" s="51" customFormat="1" x14ac:dyDescent="0.35">
      <c r="A81" s="57"/>
    </row>
    <row r="82" spans="1:1" s="51" customFormat="1" x14ac:dyDescent="0.35">
      <c r="A82" s="57"/>
    </row>
    <row r="83" spans="1:1" s="51" customFormat="1" x14ac:dyDescent="0.35">
      <c r="A83" s="57"/>
    </row>
    <row r="84" spans="1:1" s="51" customFormat="1" x14ac:dyDescent="0.35">
      <c r="A84" s="57"/>
    </row>
    <row r="85" spans="1:1" s="51" customFormat="1" x14ac:dyDescent="0.35">
      <c r="A85" s="57"/>
    </row>
    <row r="86" spans="1:1" s="51" customFormat="1" x14ac:dyDescent="0.35">
      <c r="A86" s="57"/>
    </row>
    <row r="87" spans="1:1" s="51" customFormat="1" x14ac:dyDescent="0.35">
      <c r="A87" s="57"/>
    </row>
    <row r="88" spans="1:1" s="51" customFormat="1" x14ac:dyDescent="0.35">
      <c r="A88" s="57"/>
    </row>
    <row r="89" spans="1:1" s="51" customFormat="1" x14ac:dyDescent="0.35">
      <c r="A89" s="57"/>
    </row>
    <row r="90" spans="1:1" s="51" customFormat="1" x14ac:dyDescent="0.35">
      <c r="A90" s="57"/>
    </row>
    <row r="91" spans="1:1" s="51" customFormat="1" x14ac:dyDescent="0.35">
      <c r="A91" s="57"/>
    </row>
    <row r="92" spans="1:1" s="51" customFormat="1" x14ac:dyDescent="0.35">
      <c r="A92" s="57"/>
    </row>
    <row r="93" spans="1:1" s="51" customFormat="1" x14ac:dyDescent="0.35">
      <c r="A93" s="57"/>
    </row>
    <row r="94" spans="1:1" s="51" customFormat="1" x14ac:dyDescent="0.35">
      <c r="A94" s="57"/>
    </row>
    <row r="95" spans="1:1" s="51" customFormat="1" x14ac:dyDescent="0.35">
      <c r="A95" s="57"/>
    </row>
    <row r="96" spans="1:1" s="51" customFormat="1" x14ac:dyDescent="0.35">
      <c r="A96" s="57"/>
    </row>
    <row r="97" spans="1:1" s="51" customFormat="1" x14ac:dyDescent="0.35">
      <c r="A97" s="57"/>
    </row>
    <row r="98" spans="1:1" s="51" customFormat="1" x14ac:dyDescent="0.35">
      <c r="A98" s="57"/>
    </row>
    <row r="99" spans="1:1" s="51" customFormat="1" x14ac:dyDescent="0.35">
      <c r="A99" s="57"/>
    </row>
    <row r="100" spans="1:1" s="51" customFormat="1" x14ac:dyDescent="0.35">
      <c r="A100" s="57"/>
    </row>
    <row r="101" spans="1:1" s="51" customFormat="1" x14ac:dyDescent="0.35">
      <c r="A101" s="57"/>
    </row>
    <row r="102" spans="1:1" s="51" customFormat="1" x14ac:dyDescent="0.35">
      <c r="A102" s="57"/>
    </row>
    <row r="103" spans="1:1" s="51" customFormat="1" x14ac:dyDescent="0.35">
      <c r="A103" s="57"/>
    </row>
    <row r="104" spans="1:1" s="51" customFormat="1" x14ac:dyDescent="0.35">
      <c r="A104" s="57"/>
    </row>
    <row r="105" spans="1:1" s="51" customFormat="1" x14ac:dyDescent="0.35">
      <c r="A105" s="57"/>
    </row>
    <row r="106" spans="1:1" s="51" customFormat="1" x14ac:dyDescent="0.35">
      <c r="A106" s="57"/>
    </row>
    <row r="107" spans="1:1" s="51" customFormat="1" x14ac:dyDescent="0.35">
      <c r="A107" s="57"/>
    </row>
    <row r="108" spans="1:1" s="51" customFormat="1" x14ac:dyDescent="0.35">
      <c r="A108" s="57"/>
    </row>
    <row r="109" spans="1:1" s="51" customFormat="1" x14ac:dyDescent="0.35">
      <c r="A109" s="57"/>
    </row>
    <row r="110" spans="1:1" s="51" customFormat="1" x14ac:dyDescent="0.35">
      <c r="A110" s="57"/>
    </row>
    <row r="111" spans="1:1" s="51" customFormat="1" x14ac:dyDescent="0.35">
      <c r="A111" s="57"/>
    </row>
    <row r="112" spans="1:1" s="51" customFormat="1" x14ac:dyDescent="0.35">
      <c r="A112" s="57"/>
    </row>
    <row r="113" spans="1:1" s="51" customFormat="1" x14ac:dyDescent="0.35">
      <c r="A113" s="57"/>
    </row>
    <row r="114" spans="1:1" s="51" customFormat="1" x14ac:dyDescent="0.35">
      <c r="A114" s="57"/>
    </row>
    <row r="115" spans="1:1" s="51" customFormat="1" x14ac:dyDescent="0.35">
      <c r="A115" s="57"/>
    </row>
    <row r="116" spans="1:1" s="51" customFormat="1" x14ac:dyDescent="0.35">
      <c r="A116" s="57"/>
    </row>
    <row r="117" spans="1:1" s="51" customFormat="1" x14ac:dyDescent="0.35">
      <c r="A117" s="57"/>
    </row>
    <row r="118" spans="1:1" s="51" customFormat="1" x14ac:dyDescent="0.35">
      <c r="A118" s="57"/>
    </row>
    <row r="119" spans="1:1" s="51" customFormat="1" x14ac:dyDescent="0.35">
      <c r="A119" s="57"/>
    </row>
    <row r="120" spans="1:1" s="51" customFormat="1" x14ac:dyDescent="0.35">
      <c r="A120" s="57"/>
    </row>
    <row r="121" spans="1:1" s="51" customFormat="1" x14ac:dyDescent="0.35">
      <c r="A121" s="57"/>
    </row>
    <row r="122" spans="1:1" s="51" customFormat="1" x14ac:dyDescent="0.35">
      <c r="A122" s="57"/>
    </row>
    <row r="123" spans="1:1" s="51" customFormat="1" x14ac:dyDescent="0.35">
      <c r="A123" s="57"/>
    </row>
    <row r="124" spans="1:1" s="51" customFormat="1" x14ac:dyDescent="0.35">
      <c r="A124" s="57"/>
    </row>
    <row r="125" spans="1:1" s="51" customFormat="1" x14ac:dyDescent="0.35">
      <c r="A125" s="57"/>
    </row>
    <row r="126" spans="1:1" s="51" customFormat="1" x14ac:dyDescent="0.35">
      <c r="A126" s="57"/>
    </row>
    <row r="127" spans="1:1" s="51" customFormat="1" x14ac:dyDescent="0.35">
      <c r="A127" s="57"/>
    </row>
    <row r="128" spans="1:1" s="51" customFormat="1" x14ac:dyDescent="0.35">
      <c r="A128" s="57"/>
    </row>
    <row r="129" spans="1:1" s="51" customFormat="1" x14ac:dyDescent="0.35">
      <c r="A129" s="57"/>
    </row>
    <row r="130" spans="1:1" s="51" customFormat="1" x14ac:dyDescent="0.35">
      <c r="A130" s="57"/>
    </row>
    <row r="131" spans="1:1" s="51" customFormat="1" x14ac:dyDescent="0.35">
      <c r="A131" s="57"/>
    </row>
    <row r="132" spans="1:1" s="51" customFormat="1" x14ac:dyDescent="0.35">
      <c r="A132" s="57"/>
    </row>
    <row r="133" spans="1:1" s="51" customFormat="1" x14ac:dyDescent="0.35">
      <c r="A133" s="57"/>
    </row>
    <row r="134" spans="1:1" s="51" customFormat="1" x14ac:dyDescent="0.35">
      <c r="A134" s="57"/>
    </row>
    <row r="135" spans="1:1" s="51" customFormat="1" x14ac:dyDescent="0.35">
      <c r="A135" s="57"/>
    </row>
    <row r="136" spans="1:1" s="51" customFormat="1" x14ac:dyDescent="0.35">
      <c r="A136" s="57"/>
    </row>
    <row r="137" spans="1:1" s="51" customFormat="1" x14ac:dyDescent="0.35">
      <c r="A137" s="57"/>
    </row>
    <row r="138" spans="1:1" s="51" customFormat="1" x14ac:dyDescent="0.35">
      <c r="A138" s="57"/>
    </row>
    <row r="139" spans="1:1" s="51" customFormat="1" x14ac:dyDescent="0.35">
      <c r="A139" s="57"/>
    </row>
    <row r="140" spans="1:1" s="51" customFormat="1" x14ac:dyDescent="0.35">
      <c r="A140" s="57"/>
    </row>
    <row r="141" spans="1:1" s="51" customFormat="1" x14ac:dyDescent="0.35">
      <c r="A141" s="57"/>
    </row>
    <row r="142" spans="1:1" s="51" customFormat="1" x14ac:dyDescent="0.35">
      <c r="A142" s="57"/>
    </row>
    <row r="143" spans="1:1" s="51" customFormat="1" x14ac:dyDescent="0.35">
      <c r="A143" s="57"/>
    </row>
    <row r="144" spans="1:1" s="51" customFormat="1" x14ac:dyDescent="0.35">
      <c r="A144" s="57"/>
    </row>
    <row r="145" spans="1:1" s="51" customFormat="1" x14ac:dyDescent="0.35">
      <c r="A145" s="57"/>
    </row>
    <row r="146" spans="1:1" s="51" customFormat="1" x14ac:dyDescent="0.35">
      <c r="A146" s="57"/>
    </row>
    <row r="147" spans="1:1" s="51" customFormat="1" x14ac:dyDescent="0.35">
      <c r="A147" s="57"/>
    </row>
    <row r="148" spans="1:1" s="51" customFormat="1" x14ac:dyDescent="0.35">
      <c r="A148" s="57"/>
    </row>
    <row r="149" spans="1:1" s="51" customFormat="1" x14ac:dyDescent="0.35">
      <c r="A149" s="57"/>
    </row>
    <row r="150" spans="1:1" s="51" customFormat="1" x14ac:dyDescent="0.35">
      <c r="A150" s="57"/>
    </row>
    <row r="151" spans="1:1" s="51" customFormat="1" x14ac:dyDescent="0.35">
      <c r="A151" s="57"/>
    </row>
    <row r="152" spans="1:1" s="51" customFormat="1" x14ac:dyDescent="0.35">
      <c r="A152" s="57"/>
    </row>
    <row r="153" spans="1:1" s="51" customFormat="1" x14ac:dyDescent="0.35">
      <c r="A153" s="57"/>
    </row>
    <row r="154" spans="1:1" s="51" customFormat="1" x14ac:dyDescent="0.35">
      <c r="A154" s="57"/>
    </row>
    <row r="155" spans="1:1" s="51" customFormat="1" x14ac:dyDescent="0.35">
      <c r="A155" s="57"/>
    </row>
    <row r="156" spans="1:1" s="51" customFormat="1" x14ac:dyDescent="0.35">
      <c r="A156" s="57"/>
    </row>
    <row r="157" spans="1:1" s="51" customFormat="1" x14ac:dyDescent="0.35">
      <c r="A157" s="57"/>
    </row>
    <row r="158" spans="1:1" s="51" customFormat="1" x14ac:dyDescent="0.35">
      <c r="A158" s="57"/>
    </row>
    <row r="159" spans="1:1" s="51" customFormat="1" x14ac:dyDescent="0.35">
      <c r="A159" s="57"/>
    </row>
    <row r="160" spans="1:1" s="51" customFormat="1" x14ac:dyDescent="0.35">
      <c r="A160" s="57"/>
    </row>
    <row r="161" spans="1:1" s="51" customFormat="1" x14ac:dyDescent="0.35">
      <c r="A161" s="57"/>
    </row>
    <row r="162" spans="1:1" s="51" customFormat="1" x14ac:dyDescent="0.35">
      <c r="A162" s="57"/>
    </row>
    <row r="163" spans="1:1" s="51" customFormat="1" x14ac:dyDescent="0.35">
      <c r="A163" s="57"/>
    </row>
    <row r="164" spans="1:1" s="51" customFormat="1" x14ac:dyDescent="0.35">
      <c r="A164" s="57"/>
    </row>
    <row r="165" spans="1:1" s="51" customFormat="1" x14ac:dyDescent="0.35">
      <c r="A165" s="57"/>
    </row>
    <row r="166" spans="1:1" s="51" customFormat="1" x14ac:dyDescent="0.35">
      <c r="A166" s="57"/>
    </row>
    <row r="167" spans="1:1" s="51" customFormat="1" x14ac:dyDescent="0.35">
      <c r="A167" s="57"/>
    </row>
    <row r="168" spans="1:1" s="51" customFormat="1" x14ac:dyDescent="0.35">
      <c r="A168" s="57"/>
    </row>
    <row r="169" spans="1:1" s="51" customFormat="1" x14ac:dyDescent="0.35">
      <c r="A169" s="57"/>
    </row>
    <row r="170" spans="1:1" s="51" customFormat="1" x14ac:dyDescent="0.35">
      <c r="A170" s="57"/>
    </row>
    <row r="171" spans="1:1" s="51" customFormat="1" x14ac:dyDescent="0.35">
      <c r="A171" s="57"/>
    </row>
    <row r="172" spans="1:1" s="51" customFormat="1" x14ac:dyDescent="0.35">
      <c r="A172" s="57"/>
    </row>
    <row r="173" spans="1:1" s="51" customFormat="1" x14ac:dyDescent="0.35">
      <c r="A173" s="57"/>
    </row>
    <row r="174" spans="1:1" s="51" customFormat="1" x14ac:dyDescent="0.35">
      <c r="A174" s="57"/>
    </row>
    <row r="175" spans="1:1" s="51" customFormat="1" x14ac:dyDescent="0.35">
      <c r="A175" s="57"/>
    </row>
    <row r="176" spans="1:1" s="51" customFormat="1" x14ac:dyDescent="0.35">
      <c r="A176" s="57"/>
    </row>
    <row r="177" spans="1:1" s="51" customFormat="1" x14ac:dyDescent="0.35">
      <c r="A177" s="57"/>
    </row>
    <row r="178" spans="1:1" s="51" customFormat="1" x14ac:dyDescent="0.35">
      <c r="A178" s="57"/>
    </row>
    <row r="179" spans="1:1" s="51" customFormat="1" x14ac:dyDescent="0.35">
      <c r="A179" s="57"/>
    </row>
    <row r="180" spans="1:1" s="51" customFormat="1" x14ac:dyDescent="0.35">
      <c r="A180" s="57"/>
    </row>
    <row r="181" spans="1:1" s="51" customFormat="1" x14ac:dyDescent="0.35">
      <c r="A181" s="57"/>
    </row>
    <row r="182" spans="1:1" s="51" customFormat="1" x14ac:dyDescent="0.35">
      <c r="A182" s="57"/>
    </row>
    <row r="183" spans="1:1" s="51" customFormat="1" x14ac:dyDescent="0.35">
      <c r="A183" s="57"/>
    </row>
    <row r="184" spans="1:1" s="51" customFormat="1" x14ac:dyDescent="0.35">
      <c r="A184" s="57"/>
    </row>
    <row r="185" spans="1:1" s="51" customFormat="1" x14ac:dyDescent="0.35">
      <c r="A185" s="57"/>
    </row>
    <row r="186" spans="1:1" s="51" customFormat="1" x14ac:dyDescent="0.35">
      <c r="A186" s="57"/>
    </row>
    <row r="187" spans="1:1" s="51" customFormat="1" x14ac:dyDescent="0.35">
      <c r="A187" s="57"/>
    </row>
    <row r="188" spans="1:1" s="51" customFormat="1" x14ac:dyDescent="0.35">
      <c r="A188" s="57"/>
    </row>
    <row r="189" spans="1:1" s="51" customFormat="1" x14ac:dyDescent="0.35">
      <c r="A189" s="57"/>
    </row>
    <row r="190" spans="1:1" s="51" customFormat="1" x14ac:dyDescent="0.35">
      <c r="A190" s="57"/>
    </row>
    <row r="191" spans="1:1" s="51" customFormat="1" x14ac:dyDescent="0.35">
      <c r="A191" s="57"/>
    </row>
    <row r="192" spans="1:1" s="51" customFormat="1" x14ac:dyDescent="0.35">
      <c r="A192" s="57"/>
    </row>
    <row r="193" spans="1:1" s="51" customFormat="1" x14ac:dyDescent="0.35">
      <c r="A193" s="57"/>
    </row>
    <row r="194" spans="1:1" s="51" customFormat="1" x14ac:dyDescent="0.35">
      <c r="A194" s="57"/>
    </row>
    <row r="195" spans="1:1" s="51" customFormat="1" x14ac:dyDescent="0.35">
      <c r="A195" s="57"/>
    </row>
    <row r="196" spans="1:1" s="51" customFormat="1" x14ac:dyDescent="0.35">
      <c r="A196" s="57"/>
    </row>
    <row r="197" spans="1:1" s="51" customFormat="1" x14ac:dyDescent="0.35">
      <c r="A197" s="57"/>
    </row>
    <row r="198" spans="1:1" s="51" customFormat="1" x14ac:dyDescent="0.35">
      <c r="A198" s="57"/>
    </row>
    <row r="199" spans="1:1" s="51" customFormat="1" x14ac:dyDescent="0.35">
      <c r="A199" s="57"/>
    </row>
    <row r="200" spans="1:1" s="51" customFormat="1" x14ac:dyDescent="0.35">
      <c r="A200" s="57"/>
    </row>
    <row r="201" spans="1:1" s="51" customFormat="1" x14ac:dyDescent="0.35">
      <c r="A201" s="57"/>
    </row>
  </sheetData>
  <sheetProtection algorithmName="SHA-512" hashValue="S2jFMp9VLpumb79rLML6Og5mmiKxzDRtD0gELvKUTIkzbh0SOUauwgeV7TeeaqDl27lD69QsTWoC6FOhdcPXDA==" saltValue="S6hGIgjJndnwbkNzaAGAGw==" spinCount="100000" sheet="1" objects="1" scenarios="1"/>
  <hyperlinks>
    <hyperlink ref="A18" r:id="rId1" display="5) Enter in the weekly Choice/Select spread price (cell K4).  This can be found at www.ams.usda.gov &gt; Market News &gt; Livestock, Poultry, Grain &gt; Cattle &gt; Slaughter Cattle Summary, (https://www.ams.usda.gov/mnreports/lsddcbs.pdf)" xr:uid="{AC1F2202-6C7E-42FA-9956-D9E5F830F57A}"/>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92E0BF-A3A4-408E-9C3B-1FC31F1CD14F}">
  <sheetPr codeName="Sheet1">
    <tabColor theme="9" tint="-0.249977111117893"/>
  </sheetPr>
  <dimension ref="A1:CA466"/>
  <sheetViews>
    <sheetView tabSelected="1" topLeftCell="G1" zoomScaleNormal="100" workbookViewId="0">
      <selection activeCell="S28" sqref="S28:S29"/>
    </sheetView>
  </sheetViews>
  <sheetFormatPr defaultColWidth="8.7265625" defaultRowHeight="15.5" x14ac:dyDescent="0.35"/>
  <cols>
    <col min="1" max="2" width="12.6328125" style="1" customWidth="1"/>
    <col min="3" max="3" width="15.08984375" style="1" customWidth="1"/>
    <col min="4" max="4" width="14.1796875" style="1" customWidth="1"/>
    <col min="5" max="5" width="13.90625" style="1" customWidth="1"/>
    <col min="6" max="6" width="13.7265625" style="1" customWidth="1"/>
    <col min="7" max="7" width="12.6328125" style="1" customWidth="1"/>
    <col min="8" max="8" width="13.7265625" style="1" customWidth="1"/>
    <col min="9" max="9" width="9.36328125" style="1" customWidth="1"/>
    <col min="10" max="10" width="32.36328125" style="1" customWidth="1"/>
    <col min="11" max="11" width="10.453125" style="1" customWidth="1"/>
    <col min="12" max="12" width="8.7265625" style="2"/>
    <col min="13" max="13" width="27.08984375" style="1" customWidth="1"/>
    <col min="14" max="14" width="20.08984375" style="1" customWidth="1"/>
    <col min="15" max="15" width="19.81640625" style="1" customWidth="1"/>
    <col min="16" max="16" width="11.54296875" style="1" customWidth="1"/>
    <col min="17" max="17" width="8.7265625" style="1"/>
    <col min="18" max="18" width="27.36328125" style="1" customWidth="1"/>
    <col min="19" max="20" width="20.08984375" style="1" customWidth="1"/>
    <col min="21" max="21" width="11.6328125" style="1" customWidth="1"/>
    <col min="22" max="22" width="12.36328125" style="51" customWidth="1"/>
    <col min="23" max="78" width="8.7265625" style="51"/>
    <col min="79" max="16384" width="8.7265625" style="1"/>
  </cols>
  <sheetData>
    <row r="1" spans="1:79" ht="18.5" x14ac:dyDescent="0.45">
      <c r="A1" s="117" t="s">
        <v>82</v>
      </c>
      <c r="B1" s="117"/>
      <c r="C1" s="117"/>
      <c r="D1" s="117"/>
      <c r="E1" s="117"/>
      <c r="F1" s="117"/>
      <c r="G1" s="117"/>
      <c r="H1" s="117"/>
      <c r="I1" s="117"/>
      <c r="J1" s="117"/>
      <c r="K1" s="117"/>
      <c r="L1" s="117"/>
      <c r="M1" s="117"/>
      <c r="N1" s="117"/>
      <c r="O1" s="117"/>
      <c r="P1" s="117"/>
      <c r="Q1" s="117"/>
      <c r="R1" s="117"/>
      <c r="S1" s="117"/>
      <c r="T1" s="117"/>
      <c r="U1" s="117"/>
      <c r="CA1" s="51"/>
    </row>
    <row r="2" spans="1:79" s="51" customFormat="1" x14ac:dyDescent="0.35"/>
    <row r="3" spans="1:79" ht="17" x14ac:dyDescent="0.4">
      <c r="A3" s="105" t="s">
        <v>0</v>
      </c>
      <c r="B3" s="104" t="s">
        <v>47</v>
      </c>
      <c r="C3" s="105" t="s">
        <v>1</v>
      </c>
      <c r="D3" s="105" t="s">
        <v>2</v>
      </c>
      <c r="E3" s="105" t="s">
        <v>36</v>
      </c>
      <c r="F3" s="104" t="s">
        <v>40</v>
      </c>
      <c r="G3" s="105" t="s">
        <v>8</v>
      </c>
      <c r="H3" s="104" t="s">
        <v>37</v>
      </c>
      <c r="I3" s="51"/>
      <c r="J3" s="21" t="s">
        <v>68</v>
      </c>
      <c r="K3" s="48"/>
      <c r="L3" s="51"/>
      <c r="M3" s="51"/>
      <c r="N3" s="51"/>
      <c r="O3" s="51"/>
      <c r="P3" s="51"/>
      <c r="Q3" s="51"/>
      <c r="R3" s="51"/>
      <c r="S3" s="51"/>
      <c r="T3" s="51"/>
      <c r="U3" s="51"/>
    </row>
    <row r="4" spans="1:79" x14ac:dyDescent="0.35">
      <c r="A4" s="105"/>
      <c r="B4" s="104"/>
      <c r="C4" s="105"/>
      <c r="D4" s="105"/>
      <c r="E4" s="105"/>
      <c r="F4" s="104"/>
      <c r="G4" s="105"/>
      <c r="H4" s="104"/>
      <c r="I4" s="51"/>
      <c r="J4" s="51"/>
      <c r="K4" s="51"/>
      <c r="L4" s="61"/>
      <c r="M4" s="51"/>
      <c r="N4" s="51"/>
      <c r="O4" s="51"/>
      <c r="P4" s="51"/>
      <c r="Q4" s="51"/>
      <c r="R4" s="51"/>
      <c r="S4" s="51"/>
      <c r="T4" s="51"/>
      <c r="U4" s="51"/>
    </row>
    <row r="5" spans="1:79" ht="17" x14ac:dyDescent="0.4">
      <c r="A5" s="47">
        <v>18</v>
      </c>
      <c r="B5" s="47">
        <v>707</v>
      </c>
      <c r="C5" s="47" t="s">
        <v>5</v>
      </c>
      <c r="D5" s="47">
        <v>2</v>
      </c>
      <c r="E5" s="47"/>
      <c r="F5" s="47" t="s">
        <v>41</v>
      </c>
      <c r="G5" s="47" t="s">
        <v>41</v>
      </c>
      <c r="H5" s="47" t="s">
        <v>41</v>
      </c>
      <c r="I5" s="51"/>
      <c r="J5" s="18" t="s">
        <v>48</v>
      </c>
      <c r="K5" s="75">
        <v>10.25</v>
      </c>
      <c r="L5" s="51"/>
      <c r="M5" s="106" t="s">
        <v>18</v>
      </c>
      <c r="N5" s="107"/>
      <c r="O5" s="51"/>
      <c r="P5" s="51"/>
      <c r="Q5" s="51"/>
      <c r="R5" s="106" t="s">
        <v>17</v>
      </c>
      <c r="S5" s="107"/>
      <c r="T5" s="51"/>
      <c r="U5" s="51"/>
    </row>
    <row r="6" spans="1:79" ht="15.5" customHeight="1" x14ac:dyDescent="0.4">
      <c r="A6" s="47">
        <v>30</v>
      </c>
      <c r="B6" s="47">
        <v>786</v>
      </c>
      <c r="C6" s="47" t="s">
        <v>5</v>
      </c>
      <c r="D6" s="47">
        <v>3</v>
      </c>
      <c r="E6" s="47"/>
      <c r="F6" s="47" t="s">
        <v>41</v>
      </c>
      <c r="G6" s="47" t="s">
        <v>41</v>
      </c>
      <c r="H6" s="47" t="s">
        <v>41</v>
      </c>
      <c r="I6" s="51"/>
      <c r="J6" s="51"/>
      <c r="K6" s="70"/>
      <c r="L6" s="51"/>
      <c r="M6" s="3" t="s">
        <v>28</v>
      </c>
      <c r="N6" s="4">
        <v>61.5</v>
      </c>
      <c r="O6" s="51"/>
      <c r="P6" s="51"/>
      <c r="Q6" s="51"/>
      <c r="R6" s="3" t="s">
        <v>28</v>
      </c>
      <c r="S6" s="4">
        <v>61</v>
      </c>
      <c r="T6" s="51"/>
      <c r="U6" s="51"/>
    </row>
    <row r="7" spans="1:79" ht="17" customHeight="1" x14ac:dyDescent="0.4">
      <c r="A7" s="47">
        <v>1</v>
      </c>
      <c r="B7" s="47">
        <v>817</v>
      </c>
      <c r="C7" s="47" t="s">
        <v>5</v>
      </c>
      <c r="D7" s="47">
        <v>3</v>
      </c>
      <c r="E7" s="47"/>
      <c r="F7" s="47" t="s">
        <v>41</v>
      </c>
      <c r="G7" s="47" t="s">
        <v>41</v>
      </c>
      <c r="H7" s="47" t="s">
        <v>41</v>
      </c>
      <c r="I7" s="51"/>
      <c r="J7" s="106" t="s">
        <v>3</v>
      </c>
      <c r="K7" s="107"/>
      <c r="L7" s="62"/>
      <c r="M7" s="3" t="s">
        <v>34</v>
      </c>
      <c r="N7" s="76">
        <v>49000</v>
      </c>
      <c r="O7" s="51"/>
      <c r="P7" s="51"/>
      <c r="Q7" s="51"/>
      <c r="R7" s="3" t="s">
        <v>34</v>
      </c>
      <c r="S7" s="77">
        <f>N7</f>
        <v>49000</v>
      </c>
      <c r="T7" s="51"/>
      <c r="U7" s="51"/>
    </row>
    <row r="8" spans="1:79" x14ac:dyDescent="0.35">
      <c r="A8" s="47">
        <v>7</v>
      </c>
      <c r="B8" s="47">
        <v>839</v>
      </c>
      <c r="C8" s="47" t="s">
        <v>5</v>
      </c>
      <c r="D8" s="47">
        <v>2</v>
      </c>
      <c r="E8" s="47"/>
      <c r="F8" s="47" t="s">
        <v>41</v>
      </c>
      <c r="G8" s="47" t="s">
        <v>41</v>
      </c>
      <c r="H8" s="47" t="s">
        <v>41</v>
      </c>
      <c r="I8" s="51"/>
      <c r="J8" s="6" t="s">
        <v>23</v>
      </c>
      <c r="K8" s="7">
        <f>COUNTIF(B5:B124, "&gt;0")</f>
        <v>36</v>
      </c>
      <c r="L8" s="63"/>
      <c r="M8" s="3" t="s">
        <v>35</v>
      </c>
      <c r="N8" s="3" cm="1">
        <f t="array" ref="N8">_xlfn.IFS(K10&gt;(N7+(N7*0.03)), (K10-(N7+(N7*0.03))), K10&lt;(N7-(N7*0.03)), (K10-(N7-(N7*0.03))), K10&lt;(N7+(N7*0.03)), "0", K10&gt;(N7-(N7*0.03)), "0")</f>
        <v>1230</v>
      </c>
      <c r="O8" s="51"/>
      <c r="P8" s="51"/>
      <c r="Q8" s="51"/>
      <c r="R8" s="3" t="s">
        <v>35</v>
      </c>
      <c r="S8" s="80" cm="1">
        <f t="array" ref="S8">_xlfn.IFS(K10&gt;(S7+(S7*0.03)), (K10-(S7+(S7*0.03))), K10&lt;(S7-(S7*0.03)), (K10-(S7-(S7*0.03))), K10&lt;(S7+(S7*0.03)), "0", K10&gt;(S7-(S7*0.03)), "0")</f>
        <v>1230</v>
      </c>
      <c r="T8" s="51"/>
      <c r="U8" s="51"/>
    </row>
    <row r="9" spans="1:79" x14ac:dyDescent="0.35">
      <c r="A9" s="47">
        <v>19</v>
      </c>
      <c r="B9" s="47">
        <v>844</v>
      </c>
      <c r="C9" s="47" t="s">
        <v>5</v>
      </c>
      <c r="D9" s="47">
        <v>3</v>
      </c>
      <c r="E9" s="47"/>
      <c r="F9" s="47" t="s">
        <v>41</v>
      </c>
      <c r="G9" s="47" t="s">
        <v>41</v>
      </c>
      <c r="H9" s="47" t="s">
        <v>41</v>
      </c>
      <c r="I9" s="51"/>
      <c r="J9" s="3" t="s">
        <v>87</v>
      </c>
      <c r="K9" s="5">
        <f>COUNTIFS(C4:C124, "Standard", F4:F124, "No") + COUNTIFS(C4:C124, "&lt;&gt;", F4:F124, "Yes") + COUNTIFS(C4:C124, "No Roll", F4:F124, "No")</f>
        <v>0</v>
      </c>
      <c r="L9" s="63"/>
      <c r="M9" s="3" t="s">
        <v>31</v>
      </c>
      <c r="N9" s="75">
        <v>112.75</v>
      </c>
      <c r="O9" s="51"/>
      <c r="P9" s="51"/>
      <c r="Q9" s="51"/>
      <c r="R9" s="3" t="s">
        <v>31</v>
      </c>
      <c r="S9" s="9">
        <f>N9</f>
        <v>112.75</v>
      </c>
      <c r="T9" s="51"/>
      <c r="U9" s="51"/>
    </row>
    <row r="10" spans="1:79" x14ac:dyDescent="0.35">
      <c r="A10" s="47">
        <v>9</v>
      </c>
      <c r="B10" s="47">
        <v>848</v>
      </c>
      <c r="C10" s="47" t="s">
        <v>5</v>
      </c>
      <c r="D10" s="47">
        <v>3</v>
      </c>
      <c r="E10" s="47"/>
      <c r="F10" s="47" t="s">
        <v>41</v>
      </c>
      <c r="G10" s="47" t="s">
        <v>41</v>
      </c>
      <c r="H10" s="47" t="s">
        <v>41</v>
      </c>
      <c r="I10" s="51"/>
      <c r="J10" s="3" t="s">
        <v>72</v>
      </c>
      <c r="K10" s="76">
        <v>51700</v>
      </c>
      <c r="L10" s="64"/>
      <c r="M10" s="3" t="s">
        <v>32</v>
      </c>
      <c r="N10" s="75">
        <v>-8</v>
      </c>
      <c r="O10" s="51"/>
      <c r="P10" s="51"/>
      <c r="Q10" s="51"/>
      <c r="R10" s="3" t="s">
        <v>32</v>
      </c>
      <c r="S10" s="75">
        <v>-12</v>
      </c>
      <c r="T10" s="51"/>
      <c r="U10" s="51"/>
    </row>
    <row r="11" spans="1:79" x14ac:dyDescent="0.35">
      <c r="A11" s="47">
        <v>27</v>
      </c>
      <c r="B11" s="47">
        <v>858</v>
      </c>
      <c r="C11" s="47" t="s">
        <v>5</v>
      </c>
      <c r="D11" s="47">
        <v>2</v>
      </c>
      <c r="E11" s="47"/>
      <c r="F11" s="47" t="s">
        <v>41</v>
      </c>
      <c r="G11" s="47" t="s">
        <v>41</v>
      </c>
      <c r="H11" s="47" t="s">
        <v>41</v>
      </c>
      <c r="I11" s="51"/>
      <c r="J11" s="3" t="s">
        <v>73</v>
      </c>
      <c r="K11" s="77">
        <f>K10/K8</f>
        <v>1436.1111111111111</v>
      </c>
      <c r="L11" s="63"/>
      <c r="M11" s="3" t="s">
        <v>29</v>
      </c>
      <c r="N11" s="10">
        <f>N9+N10</f>
        <v>104.75</v>
      </c>
      <c r="O11" s="51"/>
      <c r="P11" s="51"/>
      <c r="Q11" s="51"/>
      <c r="R11" s="3" t="s">
        <v>29</v>
      </c>
      <c r="S11" s="10">
        <f>S9+S10</f>
        <v>100.75</v>
      </c>
      <c r="T11" s="71"/>
      <c r="U11" s="71"/>
    </row>
    <row r="12" spans="1:79" x14ac:dyDescent="0.35">
      <c r="A12" s="47">
        <v>12</v>
      </c>
      <c r="B12" s="47">
        <v>872</v>
      </c>
      <c r="C12" s="47" t="s">
        <v>5</v>
      </c>
      <c r="D12" s="47">
        <v>3</v>
      </c>
      <c r="E12" s="47"/>
      <c r="F12" s="47" t="s">
        <v>41</v>
      </c>
      <c r="G12" s="47" t="s">
        <v>41</v>
      </c>
      <c r="H12" s="47" t="s">
        <v>41</v>
      </c>
      <c r="I12" s="51"/>
      <c r="J12" s="3" t="s">
        <v>74</v>
      </c>
      <c r="K12" s="77">
        <f>SUM(B5:B124)</f>
        <v>31329</v>
      </c>
      <c r="L12" s="64"/>
      <c r="M12" s="3" t="s">
        <v>30</v>
      </c>
      <c r="N12" s="10">
        <f>N11/(N6/100)</f>
        <v>170.32520325203251</v>
      </c>
      <c r="O12" s="51"/>
      <c r="P12" s="51"/>
      <c r="Q12" s="51"/>
      <c r="R12" s="3" t="s">
        <v>30</v>
      </c>
      <c r="S12" s="10">
        <f>S11/(S6/100)</f>
        <v>165.1639344262295</v>
      </c>
      <c r="T12" s="71"/>
      <c r="U12" s="71"/>
    </row>
    <row r="13" spans="1:79" x14ac:dyDescent="0.35">
      <c r="A13" s="47">
        <v>21</v>
      </c>
      <c r="B13" s="47">
        <v>873</v>
      </c>
      <c r="C13" s="47" t="s">
        <v>5</v>
      </c>
      <c r="D13" s="47">
        <v>3</v>
      </c>
      <c r="E13" s="47"/>
      <c r="F13" s="47" t="s">
        <v>41</v>
      </c>
      <c r="G13" s="47" t="s">
        <v>41</v>
      </c>
      <c r="H13" s="47" t="s">
        <v>41</v>
      </c>
      <c r="I13" s="51"/>
      <c r="J13" s="3" t="s">
        <v>75</v>
      </c>
      <c r="K13" s="77">
        <f>K12/K8</f>
        <v>870.25</v>
      </c>
      <c r="L13" s="65"/>
      <c r="M13" s="3" t="s">
        <v>33</v>
      </c>
      <c r="N13" s="75">
        <v>96.38</v>
      </c>
      <c r="O13" s="51"/>
      <c r="P13" s="51"/>
      <c r="Q13" s="51"/>
      <c r="R13" s="3" t="s">
        <v>33</v>
      </c>
      <c r="S13" s="10">
        <f>N13</f>
        <v>96.38</v>
      </c>
      <c r="T13" s="51"/>
      <c r="U13" s="51"/>
    </row>
    <row r="14" spans="1:79" x14ac:dyDescent="0.35">
      <c r="A14" s="47">
        <v>16</v>
      </c>
      <c r="B14" s="47">
        <v>874</v>
      </c>
      <c r="C14" s="47" t="s">
        <v>5</v>
      </c>
      <c r="D14" s="47">
        <v>3</v>
      </c>
      <c r="E14" s="47"/>
      <c r="F14" s="47" t="s">
        <v>41</v>
      </c>
      <c r="G14" s="47" t="s">
        <v>41</v>
      </c>
      <c r="H14" s="47" t="s">
        <v>41</v>
      </c>
      <c r="I14" s="51"/>
      <c r="J14" s="3" t="s">
        <v>24</v>
      </c>
      <c r="K14" s="11">
        <f>(K12/K10)*100</f>
        <v>60.59767891682786</v>
      </c>
      <c r="L14" s="51"/>
      <c r="M14" s="3" t="s">
        <v>88</v>
      </c>
      <c r="N14" s="9">
        <f>N13/(N6/100)</f>
        <v>156.71544715447155</v>
      </c>
      <c r="O14" s="51"/>
      <c r="P14" s="51"/>
      <c r="Q14" s="51"/>
      <c r="R14" s="3" t="s">
        <v>33</v>
      </c>
      <c r="S14" s="9">
        <f>S13/(S6/100)</f>
        <v>158</v>
      </c>
      <c r="T14" s="51"/>
      <c r="U14" s="51"/>
    </row>
    <row r="15" spans="1:79" ht="14.5" customHeight="1" x14ac:dyDescent="0.35">
      <c r="A15" s="47">
        <v>3</v>
      </c>
      <c r="B15" s="47">
        <v>880</v>
      </c>
      <c r="C15" s="47" t="s">
        <v>5</v>
      </c>
      <c r="D15" s="47">
        <v>3</v>
      </c>
      <c r="E15" s="47"/>
      <c r="F15" s="47" t="s">
        <v>41</v>
      </c>
      <c r="G15" s="47" t="s">
        <v>41</v>
      </c>
      <c r="H15" s="47" t="s">
        <v>41</v>
      </c>
      <c r="I15" s="51"/>
      <c r="J15" s="69"/>
      <c r="K15" s="51"/>
      <c r="L15" s="51"/>
      <c r="M15" s="2"/>
      <c r="N15" s="2"/>
      <c r="O15" s="51"/>
      <c r="P15" s="51"/>
      <c r="Q15" s="51"/>
      <c r="R15" s="2"/>
      <c r="S15" s="2"/>
      <c r="T15" s="51"/>
      <c r="U15" s="51"/>
      <c r="V15" s="62"/>
    </row>
    <row r="16" spans="1:79" ht="14.5" customHeight="1" x14ac:dyDescent="0.35">
      <c r="A16" s="47">
        <v>32</v>
      </c>
      <c r="B16" s="47">
        <v>909</v>
      </c>
      <c r="C16" s="47" t="s">
        <v>5</v>
      </c>
      <c r="D16" s="47">
        <v>3</v>
      </c>
      <c r="E16" s="47"/>
      <c r="F16" s="47" t="s">
        <v>41</v>
      </c>
      <c r="G16" s="47" t="s">
        <v>41</v>
      </c>
      <c r="H16" s="47" t="s">
        <v>41</v>
      </c>
      <c r="I16" s="51"/>
      <c r="J16" s="105" t="s">
        <v>26</v>
      </c>
      <c r="K16" s="105" t="s">
        <v>76</v>
      </c>
      <c r="L16" s="62"/>
      <c r="M16" s="123" t="s">
        <v>26</v>
      </c>
      <c r="N16" s="105" t="s">
        <v>46</v>
      </c>
      <c r="O16" s="108" t="s">
        <v>63</v>
      </c>
      <c r="P16" s="110" t="s">
        <v>44</v>
      </c>
      <c r="Q16" s="51"/>
      <c r="R16" s="120" t="s">
        <v>26</v>
      </c>
      <c r="S16" s="105" t="s">
        <v>46</v>
      </c>
      <c r="T16" s="104" t="s">
        <v>63</v>
      </c>
      <c r="U16" s="105" t="s">
        <v>44</v>
      </c>
      <c r="V16" s="62"/>
    </row>
    <row r="17" spans="1:22" x14ac:dyDescent="0.35">
      <c r="A17" s="47">
        <v>35</v>
      </c>
      <c r="B17" s="47">
        <v>926</v>
      </c>
      <c r="C17" s="47" t="s">
        <v>5</v>
      </c>
      <c r="D17" s="47">
        <v>3</v>
      </c>
      <c r="E17" s="47"/>
      <c r="F17" s="47" t="s">
        <v>41</v>
      </c>
      <c r="G17" s="47" t="s">
        <v>41</v>
      </c>
      <c r="H17" s="47" t="s">
        <v>41</v>
      </c>
      <c r="I17" s="51"/>
      <c r="J17" s="105"/>
      <c r="K17" s="105"/>
      <c r="L17" s="63"/>
      <c r="M17" s="124"/>
      <c r="N17" s="105"/>
      <c r="O17" s="109"/>
      <c r="P17" s="111"/>
      <c r="Q17" s="51"/>
      <c r="R17" s="120"/>
      <c r="S17" s="105"/>
      <c r="T17" s="104"/>
      <c r="U17" s="105"/>
      <c r="V17" s="63"/>
    </row>
    <row r="18" spans="1:22" x14ac:dyDescent="0.35">
      <c r="A18" s="47">
        <v>8</v>
      </c>
      <c r="B18" s="47">
        <v>950</v>
      </c>
      <c r="C18" s="47" t="s">
        <v>5</v>
      </c>
      <c r="D18" s="47">
        <v>3</v>
      </c>
      <c r="E18" s="47"/>
      <c r="F18" s="47" t="s">
        <v>41</v>
      </c>
      <c r="G18" s="47" t="s">
        <v>41</v>
      </c>
      <c r="H18" s="47" t="s">
        <v>41</v>
      </c>
      <c r="I18" s="51"/>
      <c r="J18" s="3" t="s">
        <v>9</v>
      </c>
      <c r="K18" s="7">
        <f>COUNTIF(B5:B124, "&lt;600")</f>
        <v>0</v>
      </c>
      <c r="L18" s="63"/>
      <c r="M18" s="3" t="s">
        <v>9</v>
      </c>
      <c r="N18" s="77">
        <f>(SUMIF($B$5:$B$124,"&lt;600", $B$5:$B$124))</f>
        <v>0</v>
      </c>
      <c r="O18" s="75">
        <v>-50</v>
      </c>
      <c r="P18" s="10">
        <f t="shared" ref="P18:P25" si="0">N18*O18/100</f>
        <v>0</v>
      </c>
      <c r="Q18" s="51"/>
      <c r="R18" s="3" t="s">
        <v>9</v>
      </c>
      <c r="S18" s="77">
        <f>(SUMIF($B$5:$B$124,"&lt;600", $B$5:$B$124))</f>
        <v>0</v>
      </c>
      <c r="T18" s="75">
        <v>-40</v>
      </c>
      <c r="U18" s="10">
        <f t="shared" ref="U18:U25" si="1">S18*T18/100</f>
        <v>0</v>
      </c>
      <c r="V18" s="63"/>
    </row>
    <row r="19" spans="1:22" x14ac:dyDescent="0.35">
      <c r="A19" s="47">
        <v>5</v>
      </c>
      <c r="B19" s="47">
        <v>954</v>
      </c>
      <c r="C19" s="47" t="s">
        <v>5</v>
      </c>
      <c r="D19" s="47">
        <v>3</v>
      </c>
      <c r="E19" s="47"/>
      <c r="F19" s="47" t="s">
        <v>41</v>
      </c>
      <c r="G19" s="47" t="s">
        <v>41</v>
      </c>
      <c r="H19" s="47" t="s">
        <v>41</v>
      </c>
      <c r="I19" s="51"/>
      <c r="J19" s="3" t="s">
        <v>10</v>
      </c>
      <c r="K19" s="7">
        <f>COUNTIFS($B$5:$B$124, "&gt;=600", $B$5:$B$124, "&lt;650")</f>
        <v>0</v>
      </c>
      <c r="L19" s="63"/>
      <c r="M19" s="3" t="s">
        <v>10</v>
      </c>
      <c r="N19" s="77">
        <f>(SUMIFS($B$5:$B$124, $B$5:$B$124,"&gt;=600",$B$5:$B$124, "&lt;650"))</f>
        <v>0</v>
      </c>
      <c r="O19" s="75">
        <v>-25</v>
      </c>
      <c r="P19" s="10">
        <f t="shared" si="0"/>
        <v>0</v>
      </c>
      <c r="Q19" s="51"/>
      <c r="R19" s="3" t="s">
        <v>10</v>
      </c>
      <c r="S19" s="77">
        <f>(SUMIFS($B$5:$B$124, $B$5:$B$124,"&gt;=600",$B$5:$B$124, "&lt;650"))</f>
        <v>0</v>
      </c>
      <c r="T19" s="75">
        <v>-15</v>
      </c>
      <c r="U19" s="10">
        <f t="shared" si="1"/>
        <v>0</v>
      </c>
      <c r="V19" s="61"/>
    </row>
    <row r="20" spans="1:22" x14ac:dyDescent="0.35">
      <c r="A20" s="47">
        <v>2</v>
      </c>
      <c r="B20" s="47">
        <v>969</v>
      </c>
      <c r="C20" s="47" t="s">
        <v>5</v>
      </c>
      <c r="D20" s="47">
        <v>3</v>
      </c>
      <c r="E20" s="47"/>
      <c r="F20" s="47" t="s">
        <v>41</v>
      </c>
      <c r="G20" s="47" t="s">
        <v>41</v>
      </c>
      <c r="H20" s="47" t="s">
        <v>41</v>
      </c>
      <c r="I20" s="51"/>
      <c r="J20" s="3" t="s">
        <v>11</v>
      </c>
      <c r="K20" s="7">
        <f>COUNTIFS($B$5:$B$124, "&gt;=650", $B$5:$B$124, "&lt;700")</f>
        <v>1</v>
      </c>
      <c r="L20" s="63"/>
      <c r="M20" s="3" t="s">
        <v>11</v>
      </c>
      <c r="N20" s="77">
        <f>(SUMIFS($B$5:$B$124, $B$5:$B$124,"&gt;=650",$B$5:$B$124, "&lt;700"))</f>
        <v>699</v>
      </c>
      <c r="O20" s="75">
        <v>-5</v>
      </c>
      <c r="P20" s="10">
        <f t="shared" si="0"/>
        <v>-34.950000000000003</v>
      </c>
      <c r="Q20" s="51"/>
      <c r="R20" s="3" t="s">
        <v>11</v>
      </c>
      <c r="S20" s="77">
        <f>(SUMIFS($B$5:$B$124, $B$5:$B$124,"&gt;=650",$B$5:$B$124, "&lt;700"))</f>
        <v>699</v>
      </c>
      <c r="T20" s="75">
        <v>-15</v>
      </c>
      <c r="U20" s="10">
        <f t="shared" si="1"/>
        <v>-104.85</v>
      </c>
      <c r="V20" s="63"/>
    </row>
    <row r="21" spans="1:22" x14ac:dyDescent="0.35">
      <c r="A21" s="47">
        <v>11</v>
      </c>
      <c r="B21" s="47">
        <v>969</v>
      </c>
      <c r="C21" s="47" t="s">
        <v>5</v>
      </c>
      <c r="D21" s="47">
        <v>3</v>
      </c>
      <c r="E21" s="47"/>
      <c r="F21" s="47" t="s">
        <v>41</v>
      </c>
      <c r="G21" s="47" t="s">
        <v>41</v>
      </c>
      <c r="H21" s="47" t="s">
        <v>41</v>
      </c>
      <c r="I21" s="51"/>
      <c r="J21" s="3" t="s">
        <v>12</v>
      </c>
      <c r="K21" s="7">
        <f>COUNTIFS($B$5:$B$124, "&gt;=700", $B$5:$B$124, "&lt;1000")</f>
        <v>33</v>
      </c>
      <c r="L21" s="63"/>
      <c r="M21" s="3" t="s">
        <v>12</v>
      </c>
      <c r="N21" s="77">
        <f>(SUMIFS($B$5:$B$124, $B$5:$B$124,"&gt;=700",$B$5:$B$124, "&lt;1000"))</f>
        <v>28581</v>
      </c>
      <c r="O21" s="75">
        <v>0</v>
      </c>
      <c r="P21" s="10">
        <f t="shared" si="0"/>
        <v>0</v>
      </c>
      <c r="Q21" s="51"/>
      <c r="R21" s="3" t="s">
        <v>12</v>
      </c>
      <c r="S21" s="77">
        <f>(SUMIFS($B$5:$B$124, $B$5:$B$124,"&gt;=700",$B$5:$B$124, "&lt;1000"))</f>
        <v>28581</v>
      </c>
      <c r="T21" s="75">
        <v>0</v>
      </c>
      <c r="U21" s="10">
        <f t="shared" si="1"/>
        <v>0</v>
      </c>
      <c r="V21" s="61"/>
    </row>
    <row r="22" spans="1:22" x14ac:dyDescent="0.35">
      <c r="A22" s="47">
        <v>20</v>
      </c>
      <c r="B22" s="47">
        <v>1036</v>
      </c>
      <c r="C22" s="47" t="s">
        <v>5</v>
      </c>
      <c r="D22" s="47">
        <v>2</v>
      </c>
      <c r="E22" s="47"/>
      <c r="F22" s="47" t="s">
        <v>41</v>
      </c>
      <c r="G22" s="47" t="s">
        <v>41</v>
      </c>
      <c r="H22" s="47" t="s">
        <v>41</v>
      </c>
      <c r="I22" s="51"/>
      <c r="J22" s="3" t="s">
        <v>13</v>
      </c>
      <c r="K22" s="7">
        <f>COUNTIFS($B$5:$B$124, "&gt;=1000", $B$5:$B$124, "&lt;1050")</f>
        <v>2</v>
      </c>
      <c r="L22" s="63"/>
      <c r="M22" s="3" t="s">
        <v>13</v>
      </c>
      <c r="N22" s="77">
        <f>(SUMIFS($B$5:$B$124, $B$5:$B$124,"&gt;=1000",$B$5:$B$124, "&lt;1050"))</f>
        <v>2049</v>
      </c>
      <c r="O22" s="75">
        <v>-10</v>
      </c>
      <c r="P22" s="10">
        <f t="shared" si="0"/>
        <v>-204.9</v>
      </c>
      <c r="Q22" s="51"/>
      <c r="R22" s="3" t="s">
        <v>13</v>
      </c>
      <c r="S22" s="77">
        <f>(SUMIFS($B$5:$B$124, $B$5:$B$124,"&gt;=1000",$B$5:$B$124, "&lt;1050"))</f>
        <v>2049</v>
      </c>
      <c r="T22" s="75">
        <v>-15</v>
      </c>
      <c r="U22" s="10">
        <f t="shared" si="1"/>
        <v>-307.35000000000002</v>
      </c>
      <c r="V22" s="63"/>
    </row>
    <row r="23" spans="1:22" x14ac:dyDescent="0.35">
      <c r="A23" s="47">
        <v>13</v>
      </c>
      <c r="B23" s="47">
        <v>842</v>
      </c>
      <c r="C23" s="47" t="s">
        <v>4</v>
      </c>
      <c r="D23" s="47">
        <v>3</v>
      </c>
      <c r="E23" s="47"/>
      <c r="F23" s="47" t="s">
        <v>41</v>
      </c>
      <c r="G23" s="47" t="s">
        <v>41</v>
      </c>
      <c r="H23" s="47" t="s">
        <v>41</v>
      </c>
      <c r="I23" s="51"/>
      <c r="J23" s="3" t="s">
        <v>14</v>
      </c>
      <c r="K23" s="7">
        <f>COUNTIFS($B$5:$B$124, "&gt;=1050", $B$5:$B$124, "&lt;1100")</f>
        <v>0</v>
      </c>
      <c r="L23" s="63"/>
      <c r="M23" s="12" t="s">
        <v>14</v>
      </c>
      <c r="N23" s="77">
        <f>(SUMIFS($B$5:$B$124, $B$5:$B$124,"&gt;=1050",$B$5:$B$124, "&lt;1100"))</f>
        <v>0</v>
      </c>
      <c r="O23" s="75">
        <v>-30</v>
      </c>
      <c r="P23" s="10">
        <f t="shared" si="0"/>
        <v>0</v>
      </c>
      <c r="Q23" s="51"/>
      <c r="R23" s="12" t="s">
        <v>14</v>
      </c>
      <c r="S23" s="77">
        <f>(SUMIFS($B$5:$B$124, $B$5:$B$124,"&gt;=1050",$B$5:$B$124, "&lt;1100"))</f>
        <v>0</v>
      </c>
      <c r="T23" s="75">
        <v>-15</v>
      </c>
      <c r="U23" s="10">
        <f t="shared" si="1"/>
        <v>0</v>
      </c>
      <c r="V23" s="63"/>
    </row>
    <row r="24" spans="1:22" x14ac:dyDescent="0.35">
      <c r="A24" s="47">
        <v>36</v>
      </c>
      <c r="B24" s="47">
        <v>1013</v>
      </c>
      <c r="C24" s="47" t="s">
        <v>4</v>
      </c>
      <c r="D24" s="47">
        <v>3</v>
      </c>
      <c r="E24" s="47"/>
      <c r="F24" s="47" t="s">
        <v>41</v>
      </c>
      <c r="G24" s="47" t="s">
        <v>41</v>
      </c>
      <c r="H24" s="47" t="s">
        <v>41</v>
      </c>
      <c r="I24" s="51"/>
      <c r="J24" s="3" t="s">
        <v>15</v>
      </c>
      <c r="K24" s="7">
        <f>COUNTIFS($B$5:$B$124, "&gt;=1100", $B$5:$B$124, "&lt;1200")</f>
        <v>0</v>
      </c>
      <c r="L24" s="63"/>
      <c r="M24" s="3" t="s">
        <v>15</v>
      </c>
      <c r="N24" s="77">
        <f>(SUMIFS($B$5:$B$124, $B$5:$B$124,"&gt;=1100",$B$5:$B$124, "&lt;1200"))</f>
        <v>0</v>
      </c>
      <c r="O24" s="78">
        <v>-50</v>
      </c>
      <c r="P24" s="13">
        <f t="shared" si="0"/>
        <v>0</v>
      </c>
      <c r="Q24" s="51"/>
      <c r="R24" s="3" t="s">
        <v>15</v>
      </c>
      <c r="S24" s="81">
        <f>(SUMIFS($B$5:$B$124, $B$5:$B$124,"&gt;=1100",$B$5:$B$124, "&lt;1200"))</f>
        <v>0</v>
      </c>
      <c r="T24" s="78">
        <v>-15</v>
      </c>
      <c r="U24" s="13">
        <f t="shared" si="1"/>
        <v>0</v>
      </c>
      <c r="V24" s="63"/>
    </row>
    <row r="25" spans="1:22" ht="14.5" customHeight="1" x14ac:dyDescent="0.35">
      <c r="A25" s="47">
        <v>15</v>
      </c>
      <c r="B25" s="47">
        <v>699</v>
      </c>
      <c r="C25" s="47" t="s">
        <v>6</v>
      </c>
      <c r="D25" s="47">
        <v>2</v>
      </c>
      <c r="E25" s="47"/>
      <c r="F25" s="47" t="s">
        <v>41</v>
      </c>
      <c r="G25" s="47" t="s">
        <v>41</v>
      </c>
      <c r="H25" s="47" t="s">
        <v>41</v>
      </c>
      <c r="I25" s="51"/>
      <c r="J25" s="3" t="s">
        <v>25</v>
      </c>
      <c r="K25" s="7">
        <f>COUNTIF(B5:B124, "&gt;=1200")</f>
        <v>0</v>
      </c>
      <c r="L25" s="63"/>
      <c r="M25" s="3" t="s">
        <v>25</v>
      </c>
      <c r="N25" s="77">
        <f>(SUMIF($B$5:$B$124,"&gt;=1200", $B$5:$B$124))</f>
        <v>0</v>
      </c>
      <c r="O25" s="75">
        <v>-50</v>
      </c>
      <c r="P25" s="10">
        <f t="shared" si="0"/>
        <v>0</v>
      </c>
      <c r="Q25" s="51"/>
      <c r="R25" s="3" t="s">
        <v>25</v>
      </c>
      <c r="S25" s="77">
        <f>(SUMIF($B$5:$B$124,"&gt;=1200", $B$5:$B$124))</f>
        <v>0</v>
      </c>
      <c r="T25" s="75">
        <v>-15</v>
      </c>
      <c r="U25" s="10">
        <f t="shared" si="1"/>
        <v>0</v>
      </c>
      <c r="V25" s="62"/>
    </row>
    <row r="26" spans="1:22" x14ac:dyDescent="0.35">
      <c r="A26" s="47">
        <v>31</v>
      </c>
      <c r="B26" s="47">
        <v>730</v>
      </c>
      <c r="C26" s="47" t="s">
        <v>6</v>
      </c>
      <c r="D26" s="47">
        <v>2</v>
      </c>
      <c r="E26" s="47"/>
      <c r="F26" s="47" t="s">
        <v>41</v>
      </c>
      <c r="G26" s="47" t="s">
        <v>41</v>
      </c>
      <c r="H26" s="47" t="s">
        <v>41</v>
      </c>
      <c r="I26" s="51"/>
      <c r="J26" s="105" t="s">
        <v>1</v>
      </c>
      <c r="K26" s="105" t="s">
        <v>76</v>
      </c>
      <c r="L26" s="62"/>
      <c r="M26" s="123" t="s">
        <v>1</v>
      </c>
      <c r="N26" s="105" t="s">
        <v>46</v>
      </c>
      <c r="O26" s="108" t="s">
        <v>43</v>
      </c>
      <c r="P26" s="110" t="s">
        <v>44</v>
      </c>
      <c r="Q26" s="51"/>
      <c r="R26" s="120" t="s">
        <v>1</v>
      </c>
      <c r="S26" s="104" t="s">
        <v>45</v>
      </c>
      <c r="T26" s="104" t="s">
        <v>43</v>
      </c>
      <c r="U26" s="105" t="s">
        <v>44</v>
      </c>
      <c r="V26" s="62"/>
    </row>
    <row r="27" spans="1:22" x14ac:dyDescent="0.35">
      <c r="A27" s="47">
        <v>26</v>
      </c>
      <c r="B27" s="47">
        <v>773</v>
      </c>
      <c r="C27" s="47" t="s">
        <v>4</v>
      </c>
      <c r="D27" s="47">
        <v>2</v>
      </c>
      <c r="E27" s="47"/>
      <c r="F27" s="47" t="s">
        <v>41</v>
      </c>
      <c r="G27" s="47" t="s">
        <v>41</v>
      </c>
      <c r="H27" s="47" t="s">
        <v>41</v>
      </c>
      <c r="I27" s="51"/>
      <c r="J27" s="105"/>
      <c r="K27" s="105"/>
      <c r="L27" s="63"/>
      <c r="M27" s="124"/>
      <c r="N27" s="105"/>
      <c r="O27" s="109"/>
      <c r="P27" s="111"/>
      <c r="Q27" s="51"/>
      <c r="R27" s="120"/>
      <c r="S27" s="104"/>
      <c r="T27" s="104"/>
      <c r="U27" s="105"/>
      <c r="V27" s="61"/>
    </row>
    <row r="28" spans="1:22" x14ac:dyDescent="0.35">
      <c r="A28" s="47">
        <v>34</v>
      </c>
      <c r="B28" s="47">
        <v>793</v>
      </c>
      <c r="C28" s="47" t="s">
        <v>6</v>
      </c>
      <c r="D28" s="47">
        <v>2</v>
      </c>
      <c r="E28" s="47"/>
      <c r="F28" s="47" t="s">
        <v>41</v>
      </c>
      <c r="G28" s="47" t="s">
        <v>41</v>
      </c>
      <c r="H28" s="47" t="s">
        <v>41</v>
      </c>
      <c r="I28" s="51"/>
      <c r="J28" s="3" t="s">
        <v>4</v>
      </c>
      <c r="K28" s="7">
        <f>COUNTIF(C5:C124,J28)</f>
        <v>3</v>
      </c>
      <c r="L28" s="63"/>
      <c r="M28" s="6" t="s">
        <v>4</v>
      </c>
      <c r="N28" s="77">
        <f>(SUMIF(C5:C124,"Prime", B5:B124))</f>
        <v>2628</v>
      </c>
      <c r="O28" s="79">
        <v>10</v>
      </c>
      <c r="P28" s="16">
        <f t="shared" ref="P28:P34" si="2">N28*O28/100</f>
        <v>262.8</v>
      </c>
      <c r="Q28" s="51"/>
      <c r="R28" s="115" t="s">
        <v>50</v>
      </c>
      <c r="S28" s="125">
        <f>IFERROR(AVERAGEIFS(B5:B124,C5:C124,"*i*"), AVERAGE(B5:B124))</f>
        <v>882.80952380952385</v>
      </c>
      <c r="T28" s="112">
        <f>K5</f>
        <v>10.25</v>
      </c>
      <c r="U28" s="112">
        <f>((((((((K28+K29)/(K8-K31))*100)-70)/100)*(K8-K31))*S28)*T28/100)</f>
        <v>-380.04949999999997</v>
      </c>
      <c r="V28" s="63"/>
    </row>
    <row r="29" spans="1:22" x14ac:dyDescent="0.35">
      <c r="A29" s="47">
        <v>14</v>
      </c>
      <c r="B29" s="47">
        <v>794</v>
      </c>
      <c r="C29" s="47" t="s">
        <v>6</v>
      </c>
      <c r="D29" s="47">
        <v>3</v>
      </c>
      <c r="E29" s="47"/>
      <c r="F29" s="47" t="s">
        <v>41</v>
      </c>
      <c r="G29" s="47" t="s">
        <v>41</v>
      </c>
      <c r="H29" s="47" t="s">
        <v>41</v>
      </c>
      <c r="I29" s="51"/>
      <c r="J29" s="3" t="s">
        <v>5</v>
      </c>
      <c r="K29" s="7">
        <f>COUNTIF(C5:C124,J29)</f>
        <v>18</v>
      </c>
      <c r="L29" s="63"/>
      <c r="M29" s="3" t="s">
        <v>5</v>
      </c>
      <c r="N29" s="77">
        <f>(SUMIF(C6:C125,"Choice", B6:B125))</f>
        <v>15204</v>
      </c>
      <c r="O29" s="75">
        <v>0</v>
      </c>
      <c r="P29" s="16">
        <f t="shared" si="2"/>
        <v>0</v>
      </c>
      <c r="Q29" s="51"/>
      <c r="R29" s="115"/>
      <c r="S29" s="126"/>
      <c r="T29" s="112"/>
      <c r="U29" s="112"/>
      <c r="V29" s="63"/>
    </row>
    <row r="30" spans="1:22" x14ac:dyDescent="0.35">
      <c r="A30" s="47">
        <v>25</v>
      </c>
      <c r="B30" s="47">
        <v>828</v>
      </c>
      <c r="C30" s="47" t="s">
        <v>6</v>
      </c>
      <c r="D30" s="47">
        <v>2</v>
      </c>
      <c r="E30" s="47"/>
      <c r="F30" s="47" t="s">
        <v>41</v>
      </c>
      <c r="G30" s="47" t="s">
        <v>41</v>
      </c>
      <c r="H30" s="47" t="s">
        <v>41</v>
      </c>
      <c r="I30" s="51"/>
      <c r="J30" s="3" t="s">
        <v>6</v>
      </c>
      <c r="K30" s="7">
        <f>COUNTIF(C5:C125,J30)</f>
        <v>15</v>
      </c>
      <c r="L30" s="63"/>
      <c r="M30" s="6" t="s">
        <v>6</v>
      </c>
      <c r="N30" s="77">
        <f>(SUMIF(C5:C124,"Select", B5:B124))</f>
        <v>12790</v>
      </c>
      <c r="O30" s="75">
        <f>-(K5+4)</f>
        <v>-14.25</v>
      </c>
      <c r="P30" s="10">
        <f t="shared" si="2"/>
        <v>-1822.575</v>
      </c>
      <c r="Q30" s="51"/>
      <c r="R30" s="28"/>
      <c r="S30" s="29"/>
      <c r="T30" s="30"/>
      <c r="U30" s="31"/>
      <c r="V30" s="63"/>
    </row>
    <row r="31" spans="1:22" x14ac:dyDescent="0.35">
      <c r="A31" s="47">
        <v>33</v>
      </c>
      <c r="B31" s="47">
        <v>845</v>
      </c>
      <c r="C31" s="47" t="s">
        <v>6</v>
      </c>
      <c r="D31" s="47">
        <v>2</v>
      </c>
      <c r="E31" s="47"/>
      <c r="F31" s="47" t="s">
        <v>41</v>
      </c>
      <c r="G31" s="47" t="s">
        <v>41</v>
      </c>
      <c r="H31" s="47" t="s">
        <v>41</v>
      </c>
      <c r="I31" s="51"/>
      <c r="J31" s="3" t="s">
        <v>7</v>
      </c>
      <c r="K31" s="7">
        <f>COUNTIF(C5:C124,J31)</f>
        <v>0</v>
      </c>
      <c r="L31" s="63"/>
      <c r="M31" s="3" t="s">
        <v>7</v>
      </c>
      <c r="N31" s="77">
        <f>(SUMIF(C5:C124,"Standard", B5:B124))</f>
        <v>0</v>
      </c>
      <c r="O31" s="75">
        <v>-35</v>
      </c>
      <c r="P31" s="10">
        <f t="shared" si="2"/>
        <v>0</v>
      </c>
      <c r="Q31" s="51"/>
      <c r="R31" s="3" t="s">
        <v>7</v>
      </c>
      <c r="S31" s="5">
        <f>(SUMIF(C5:C124,"Standard", B5:B124))</f>
        <v>0</v>
      </c>
      <c r="T31" s="75">
        <v>-20</v>
      </c>
      <c r="U31" s="10">
        <f>S31*(T31/100)</f>
        <v>0</v>
      </c>
      <c r="V31" s="63"/>
    </row>
    <row r="32" spans="1:22" x14ac:dyDescent="0.35">
      <c r="A32" s="47">
        <v>29</v>
      </c>
      <c r="B32" s="47">
        <v>848</v>
      </c>
      <c r="C32" s="47" t="s">
        <v>6</v>
      </c>
      <c r="D32" s="47">
        <v>2</v>
      </c>
      <c r="E32" s="47"/>
      <c r="F32" s="47" t="s">
        <v>41</v>
      </c>
      <c r="G32" s="47" t="s">
        <v>41</v>
      </c>
      <c r="H32" s="47" t="s">
        <v>41</v>
      </c>
      <c r="I32" s="51"/>
      <c r="J32" s="3" t="s">
        <v>42</v>
      </c>
      <c r="K32" s="7">
        <f>COUNTIF(C5:C124,J32)</f>
        <v>0</v>
      </c>
      <c r="L32" s="63"/>
      <c r="M32" s="3" t="s">
        <v>42</v>
      </c>
      <c r="N32" s="77">
        <f>(SUMIF(C5:C124,"No Roll", B5:B124))</f>
        <v>0</v>
      </c>
      <c r="O32" s="75">
        <v>-35</v>
      </c>
      <c r="P32" s="10">
        <f t="shared" si="2"/>
        <v>0</v>
      </c>
      <c r="Q32" s="51"/>
      <c r="R32" s="32"/>
      <c r="S32" s="44"/>
      <c r="T32" s="45"/>
      <c r="U32" s="33"/>
      <c r="V32" s="63"/>
    </row>
    <row r="33" spans="1:22" x14ac:dyDescent="0.35">
      <c r="A33" s="47">
        <v>22</v>
      </c>
      <c r="B33" s="47">
        <v>876</v>
      </c>
      <c r="C33" s="47" t="s">
        <v>6</v>
      </c>
      <c r="D33" s="47">
        <v>2</v>
      </c>
      <c r="E33" s="47"/>
      <c r="F33" s="47" t="s">
        <v>41</v>
      </c>
      <c r="G33" s="47" t="s">
        <v>41</v>
      </c>
      <c r="H33" s="47" t="s">
        <v>41</v>
      </c>
      <c r="I33" s="51"/>
      <c r="J33" s="3" t="s">
        <v>40</v>
      </c>
      <c r="K33" s="7">
        <f>COUNTIF(F5:F124,"Yes")</f>
        <v>0</v>
      </c>
      <c r="L33" s="63"/>
      <c r="M33" s="3" t="s">
        <v>40</v>
      </c>
      <c r="N33" s="77">
        <f>(SUMIF(F5:F124,"Yes", B5:B124))</f>
        <v>0</v>
      </c>
      <c r="O33" s="78">
        <v>-35</v>
      </c>
      <c r="P33" s="13">
        <f t="shared" si="2"/>
        <v>0</v>
      </c>
      <c r="Q33" s="51"/>
      <c r="R33" s="3" t="s">
        <v>40</v>
      </c>
      <c r="S33" s="14">
        <f>(SUMIF(F5:F124,"Yes", B5:B124))</f>
        <v>0</v>
      </c>
      <c r="T33" s="78">
        <v>-20</v>
      </c>
      <c r="U33" s="13">
        <f t="shared" ref="U33" si="3">S33*T33/100</f>
        <v>0</v>
      </c>
      <c r="V33" s="63"/>
    </row>
    <row r="34" spans="1:22" x14ac:dyDescent="0.35">
      <c r="A34" s="47">
        <v>17</v>
      </c>
      <c r="B34" s="47">
        <v>883</v>
      </c>
      <c r="C34" s="47" t="s">
        <v>6</v>
      </c>
      <c r="D34" s="47">
        <v>2</v>
      </c>
      <c r="E34" s="47"/>
      <c r="F34" s="47" t="s">
        <v>41</v>
      </c>
      <c r="G34" s="47" t="s">
        <v>41</v>
      </c>
      <c r="H34" s="47" t="s">
        <v>41</v>
      </c>
      <c r="I34" s="51"/>
      <c r="J34" s="3" t="s">
        <v>8</v>
      </c>
      <c r="K34" s="7">
        <f>COUNTIF(G5:G124,"Yes")</f>
        <v>0</v>
      </c>
      <c r="L34" s="51"/>
      <c r="M34" s="3" t="s">
        <v>8</v>
      </c>
      <c r="N34" s="77">
        <f>(SUMIF(G5:G124,"Yes", B5:B124))</f>
        <v>0</v>
      </c>
      <c r="O34" s="75">
        <v>-20</v>
      </c>
      <c r="P34" s="10">
        <f t="shared" si="2"/>
        <v>0</v>
      </c>
      <c r="Q34" s="51"/>
      <c r="R34" s="34"/>
      <c r="S34" s="35"/>
      <c r="T34" s="36"/>
      <c r="U34" s="37"/>
      <c r="V34" s="63"/>
    </row>
    <row r="35" spans="1:22" ht="14.5" customHeight="1" x14ac:dyDescent="0.35">
      <c r="A35" s="47">
        <v>4</v>
      </c>
      <c r="B35" s="47">
        <v>884</v>
      </c>
      <c r="C35" s="47" t="s">
        <v>6</v>
      </c>
      <c r="D35" s="47">
        <v>3</v>
      </c>
      <c r="E35" s="47"/>
      <c r="F35" s="47" t="s">
        <v>41</v>
      </c>
      <c r="G35" s="47" t="s">
        <v>41</v>
      </c>
      <c r="H35" s="47" t="s">
        <v>41</v>
      </c>
      <c r="I35" s="51"/>
      <c r="J35" s="105" t="s">
        <v>2</v>
      </c>
      <c r="K35" s="105" t="s">
        <v>76</v>
      </c>
      <c r="L35" s="62"/>
      <c r="M35" s="123" t="s">
        <v>2</v>
      </c>
      <c r="N35" s="105" t="s">
        <v>46</v>
      </c>
      <c r="O35" s="108" t="s">
        <v>63</v>
      </c>
      <c r="P35" s="110" t="s">
        <v>44</v>
      </c>
      <c r="Q35" s="51"/>
      <c r="R35" s="120" t="s">
        <v>2</v>
      </c>
      <c r="S35" s="104" t="s">
        <v>45</v>
      </c>
      <c r="T35" s="104" t="s">
        <v>63</v>
      </c>
      <c r="U35" s="105" t="s">
        <v>44</v>
      </c>
      <c r="V35" s="62"/>
    </row>
    <row r="36" spans="1:22" x14ac:dyDescent="0.35">
      <c r="A36" s="47">
        <v>24</v>
      </c>
      <c r="B36" s="47">
        <v>892</v>
      </c>
      <c r="C36" s="47" t="s">
        <v>6</v>
      </c>
      <c r="D36" s="47">
        <v>2</v>
      </c>
      <c r="E36" s="47"/>
      <c r="F36" s="47" t="s">
        <v>41</v>
      </c>
      <c r="G36" s="47" t="s">
        <v>41</v>
      </c>
      <c r="H36" s="47" t="s">
        <v>41</v>
      </c>
      <c r="I36" s="51"/>
      <c r="J36" s="105"/>
      <c r="K36" s="105"/>
      <c r="L36" s="63"/>
      <c r="M36" s="124"/>
      <c r="N36" s="105"/>
      <c r="O36" s="109"/>
      <c r="P36" s="111"/>
      <c r="Q36" s="51"/>
      <c r="R36" s="120"/>
      <c r="S36" s="104"/>
      <c r="T36" s="104"/>
      <c r="U36" s="105"/>
      <c r="V36" s="62"/>
    </row>
    <row r="37" spans="1:22" x14ac:dyDescent="0.35">
      <c r="A37" s="47">
        <v>10</v>
      </c>
      <c r="B37" s="47">
        <v>894</v>
      </c>
      <c r="C37" s="47" t="s">
        <v>6</v>
      </c>
      <c r="D37" s="47">
        <v>2</v>
      </c>
      <c r="E37" s="47"/>
      <c r="F37" s="47" t="s">
        <v>41</v>
      </c>
      <c r="G37" s="47" t="s">
        <v>41</v>
      </c>
      <c r="H37" s="47" t="s">
        <v>41</v>
      </c>
      <c r="I37" s="51"/>
      <c r="J37" s="3" t="s">
        <v>77</v>
      </c>
      <c r="K37" s="7">
        <f>COUNTIF($D$4:$D$123,"1")</f>
        <v>0</v>
      </c>
      <c r="L37" s="63"/>
      <c r="M37" s="3" t="s">
        <v>77</v>
      </c>
      <c r="N37" s="77">
        <f>( SUMIF($D$5:$D$124,"1",$B$5:$B$124))</f>
        <v>0</v>
      </c>
      <c r="O37" s="79">
        <v>0</v>
      </c>
      <c r="P37" s="10">
        <f>(N37*O37/100)</f>
        <v>0</v>
      </c>
      <c r="Q37" s="51"/>
      <c r="R37" s="15" t="s">
        <v>77</v>
      </c>
      <c r="S37" s="77">
        <f>( SUMIF($D$5:$D$124,"1",$B$5:$B$124))</f>
        <v>0</v>
      </c>
      <c r="T37" s="79">
        <v>0</v>
      </c>
      <c r="U37" s="10">
        <f t="shared" ref="U37:U39" si="4">(S37*T37/100)</f>
        <v>0</v>
      </c>
      <c r="V37" s="63"/>
    </row>
    <row r="38" spans="1:22" x14ac:dyDescent="0.35">
      <c r="A38" s="47">
        <v>6</v>
      </c>
      <c r="B38" s="47">
        <v>928</v>
      </c>
      <c r="C38" s="47" t="s">
        <v>6</v>
      </c>
      <c r="D38" s="47">
        <v>3</v>
      </c>
      <c r="E38" s="47"/>
      <c r="F38" s="47" t="s">
        <v>41</v>
      </c>
      <c r="G38" s="47" t="s">
        <v>41</v>
      </c>
      <c r="H38" s="47" t="s">
        <v>41</v>
      </c>
      <c r="I38" s="51"/>
      <c r="J38" s="6" t="s">
        <v>78</v>
      </c>
      <c r="K38" s="7">
        <f>COUNTIF($D$4:$D$123,"2")</f>
        <v>16</v>
      </c>
      <c r="L38" s="63"/>
      <c r="M38" s="6" t="s">
        <v>78</v>
      </c>
      <c r="N38" s="77">
        <f>( SUMIF($D$5:$D$124,"2",$B$5:$B$124))</f>
        <v>13443</v>
      </c>
      <c r="O38" s="75">
        <v>0</v>
      </c>
      <c r="P38" s="10">
        <f t="shared" ref="P38:P39" si="5">(N38*O38/100)</f>
        <v>0</v>
      </c>
      <c r="Q38" s="51"/>
      <c r="R38" s="6" t="s">
        <v>78</v>
      </c>
      <c r="S38" s="77">
        <f>( SUMIF($D$5:$D$124,"2",$B$5:$B$124))</f>
        <v>13443</v>
      </c>
      <c r="T38" s="75">
        <v>0</v>
      </c>
      <c r="U38" s="10">
        <f t="shared" si="4"/>
        <v>0</v>
      </c>
      <c r="V38" s="63"/>
    </row>
    <row r="39" spans="1:22" x14ac:dyDescent="0.35">
      <c r="A39" s="47">
        <v>28</v>
      </c>
      <c r="B39" s="47">
        <v>942</v>
      </c>
      <c r="C39" s="47" t="s">
        <v>6</v>
      </c>
      <c r="D39" s="47">
        <v>2</v>
      </c>
      <c r="E39" s="47"/>
      <c r="F39" s="47" t="s">
        <v>41</v>
      </c>
      <c r="G39" s="47" t="s">
        <v>41</v>
      </c>
      <c r="H39" s="47" t="s">
        <v>41</v>
      </c>
      <c r="I39" s="51"/>
      <c r="J39" s="3" t="s">
        <v>79</v>
      </c>
      <c r="K39" s="7">
        <f>COUNTIF($D$4:$D$123,"3")</f>
        <v>20</v>
      </c>
      <c r="L39" s="63"/>
      <c r="M39" s="3" t="s">
        <v>79</v>
      </c>
      <c r="N39" s="77">
        <f>( SUMIF($D$5:$D$124,"3",$B$5:$B$124))</f>
        <v>17886</v>
      </c>
      <c r="O39" s="75">
        <v>0</v>
      </c>
      <c r="P39" s="10">
        <f t="shared" si="5"/>
        <v>0</v>
      </c>
      <c r="Q39" s="51"/>
      <c r="R39" s="3" t="s">
        <v>79</v>
      </c>
      <c r="S39" s="77">
        <f>( SUMIF($D$5:$D$124,"3",$B$5:$B$124))</f>
        <v>17886</v>
      </c>
      <c r="T39" s="75">
        <v>0</v>
      </c>
      <c r="U39" s="10">
        <f t="shared" si="4"/>
        <v>0</v>
      </c>
      <c r="V39" s="61"/>
    </row>
    <row r="40" spans="1:22" x14ac:dyDescent="0.35">
      <c r="A40" s="47">
        <v>23</v>
      </c>
      <c r="B40" s="47">
        <v>954</v>
      </c>
      <c r="C40" s="47" t="s">
        <v>6</v>
      </c>
      <c r="D40" s="47">
        <v>3</v>
      </c>
      <c r="E40" s="47"/>
      <c r="F40" s="47" t="s">
        <v>41</v>
      </c>
      <c r="G40" s="47" t="s">
        <v>41</v>
      </c>
      <c r="H40" s="47" t="s">
        <v>41</v>
      </c>
      <c r="I40" s="51"/>
      <c r="J40" s="6" t="s">
        <v>54</v>
      </c>
      <c r="K40" s="7">
        <f>COUNTIF($D$4:$D$123,"4")</f>
        <v>0</v>
      </c>
      <c r="L40" s="63"/>
      <c r="M40" s="6" t="s">
        <v>54</v>
      </c>
      <c r="N40" s="77">
        <f>(SUMIF(D5:D124,"4", B5:B124))</f>
        <v>0</v>
      </c>
      <c r="O40" s="75">
        <v>-10</v>
      </c>
      <c r="P40" s="10">
        <f>N40*O40/100</f>
        <v>0</v>
      </c>
      <c r="Q40" s="51"/>
      <c r="R40" s="3" t="s">
        <v>51</v>
      </c>
      <c r="S40" s="82" t="str">
        <f>IFERROR(AVERAGEIF(D5:D124,"4",B5:B124), "0")</f>
        <v>0</v>
      </c>
      <c r="T40" s="78">
        <v>-10</v>
      </c>
      <c r="U40" s="10">
        <f>IF(((K40/(K8-K9))*100)&gt;5,((((((((K40/(K8-K9))*100)-5)/100)*(K8-K9))*S40)*(T40/100))), 0)</f>
        <v>0</v>
      </c>
      <c r="V40" s="72"/>
    </row>
    <row r="41" spans="1:22" x14ac:dyDescent="0.35">
      <c r="A41" s="47"/>
      <c r="B41" s="47"/>
      <c r="C41" s="47"/>
      <c r="D41" s="47"/>
      <c r="E41" s="47"/>
      <c r="F41" s="47"/>
      <c r="G41" s="47"/>
      <c r="H41" s="47"/>
      <c r="I41" s="51"/>
      <c r="J41" s="3" t="s">
        <v>49</v>
      </c>
      <c r="K41" s="7">
        <f>COUNTIF($D$4:$D$123,"5")</f>
        <v>0</v>
      </c>
      <c r="L41" s="51"/>
      <c r="M41" s="3" t="s">
        <v>49</v>
      </c>
      <c r="N41" s="77">
        <f>(SUMIF(D5:D124,"5", B5:B124))</f>
        <v>0</v>
      </c>
      <c r="O41" s="75">
        <v>-10</v>
      </c>
      <c r="P41" s="10">
        <f>N41*O41/100</f>
        <v>0</v>
      </c>
      <c r="Q41" s="51"/>
      <c r="R41" s="3" t="s">
        <v>49</v>
      </c>
      <c r="S41" s="77">
        <f>SUMIF($D$5:$D$124,"5",$B$5:$B$124)</f>
        <v>0</v>
      </c>
      <c r="T41" s="75">
        <v>-20</v>
      </c>
      <c r="U41" s="10">
        <f>(S41*T41/100)</f>
        <v>0</v>
      </c>
      <c r="V41" s="63"/>
    </row>
    <row r="42" spans="1:22" x14ac:dyDescent="0.35">
      <c r="A42" s="47"/>
      <c r="B42" s="47"/>
      <c r="C42" s="47"/>
      <c r="D42" s="47"/>
      <c r="E42" s="47"/>
      <c r="F42" s="47"/>
      <c r="G42" s="47"/>
      <c r="H42" s="47"/>
      <c r="I42" s="51"/>
      <c r="J42" s="105" t="s">
        <v>52</v>
      </c>
      <c r="K42" s="105" t="s">
        <v>76</v>
      </c>
      <c r="L42" s="62"/>
      <c r="M42" s="121" t="s">
        <v>52</v>
      </c>
      <c r="N42" s="105" t="s">
        <v>46</v>
      </c>
      <c r="O42" s="108" t="s">
        <v>63</v>
      </c>
      <c r="P42" s="110" t="s">
        <v>44</v>
      </c>
      <c r="Q42" s="51"/>
      <c r="R42" s="121" t="s">
        <v>52</v>
      </c>
      <c r="S42" s="107" t="s">
        <v>46</v>
      </c>
      <c r="T42" s="108" t="s">
        <v>63</v>
      </c>
      <c r="U42" s="110" t="s">
        <v>44</v>
      </c>
      <c r="V42" s="61"/>
    </row>
    <row r="43" spans="1:22" ht="14.5" customHeight="1" x14ac:dyDescent="0.35">
      <c r="A43" s="47"/>
      <c r="B43" s="47"/>
      <c r="C43" s="47"/>
      <c r="D43" s="47"/>
      <c r="E43" s="47"/>
      <c r="F43" s="47"/>
      <c r="G43" s="47"/>
      <c r="H43" s="47"/>
      <c r="I43" s="51"/>
      <c r="J43" s="105"/>
      <c r="K43" s="105"/>
      <c r="L43" s="63"/>
      <c r="M43" s="122"/>
      <c r="N43" s="105"/>
      <c r="O43" s="109"/>
      <c r="P43" s="111"/>
      <c r="Q43" s="51"/>
      <c r="R43" s="122"/>
      <c r="S43" s="107"/>
      <c r="T43" s="109"/>
      <c r="U43" s="111"/>
      <c r="V43" s="62"/>
    </row>
    <row r="44" spans="1:22" x14ac:dyDescent="0.35">
      <c r="A44" s="47"/>
      <c r="B44" s="47"/>
      <c r="C44" s="47"/>
      <c r="D44" s="47"/>
      <c r="E44" s="47"/>
      <c r="F44" s="47"/>
      <c r="G44" s="47"/>
      <c r="H44" s="47"/>
      <c r="I44" s="51"/>
      <c r="J44" s="6" t="s">
        <v>16</v>
      </c>
      <c r="K44" s="7">
        <f>COUNTIF(H5:H124,"Yes")</f>
        <v>0</v>
      </c>
      <c r="L44" s="63"/>
      <c r="M44" s="6" t="s">
        <v>16</v>
      </c>
      <c r="N44" s="77">
        <f>(SUMIF(H5:H124,"Yes", $B$5:$B$124))</f>
        <v>0</v>
      </c>
      <c r="O44" s="79">
        <v>-5</v>
      </c>
      <c r="P44" s="16">
        <f>N44*O44/100</f>
        <v>0</v>
      </c>
      <c r="Q44" s="51"/>
      <c r="R44" s="6" t="s">
        <v>16</v>
      </c>
      <c r="S44" s="77">
        <f>(SUMIF(H5:H124,"Yes", $B$5:$B$124))</f>
        <v>0</v>
      </c>
      <c r="T44" s="79">
        <v>-5</v>
      </c>
      <c r="U44" s="16">
        <f>(S44*T44/100)</f>
        <v>0</v>
      </c>
      <c r="V44" s="62"/>
    </row>
    <row r="45" spans="1:22" x14ac:dyDescent="0.35">
      <c r="A45" s="47"/>
      <c r="B45" s="47"/>
      <c r="C45" s="47"/>
      <c r="D45" s="47"/>
      <c r="E45" s="47"/>
      <c r="F45" s="47"/>
      <c r="G45" s="47"/>
      <c r="H45" s="47"/>
      <c r="I45" s="51"/>
      <c r="J45" s="6" t="s">
        <v>19</v>
      </c>
      <c r="K45" s="7">
        <f>COUNTIF(E5:E124,"1")</f>
        <v>0</v>
      </c>
      <c r="L45" s="63"/>
      <c r="M45" s="6" t="s">
        <v>19</v>
      </c>
      <c r="N45" s="77">
        <f>(SUMIF($E$5:$E$124,"1", $B$5:$B$124))</f>
        <v>0</v>
      </c>
      <c r="O45" s="75">
        <v>0</v>
      </c>
      <c r="P45" s="10">
        <f>N45*O45/100</f>
        <v>0</v>
      </c>
      <c r="Q45" s="51"/>
      <c r="R45" s="6" t="s">
        <v>19</v>
      </c>
      <c r="S45" s="77">
        <f>(SUMIF($E$5:$E$124,"1", $B$5:$B$124))</f>
        <v>0</v>
      </c>
      <c r="T45" s="75">
        <v>0</v>
      </c>
      <c r="U45" s="16">
        <f t="shared" ref="U45:U48" si="6">(S45*T45/100)</f>
        <v>0</v>
      </c>
      <c r="V45" s="61"/>
    </row>
    <row r="46" spans="1:22" x14ac:dyDescent="0.35">
      <c r="A46" s="47"/>
      <c r="B46" s="47"/>
      <c r="C46" s="47"/>
      <c r="D46" s="47"/>
      <c r="E46" s="47"/>
      <c r="F46" s="47"/>
      <c r="G46" s="47"/>
      <c r="H46" s="47"/>
      <c r="I46" s="51"/>
      <c r="J46" s="6" t="s">
        <v>20</v>
      </c>
      <c r="K46" s="7">
        <f>COUNTIF(E5:E124,"2")</f>
        <v>0</v>
      </c>
      <c r="L46" s="63"/>
      <c r="M46" s="6" t="s">
        <v>20</v>
      </c>
      <c r="N46" s="77">
        <f>(SUMIF($E$5:$E$124,"2", $B$5:$B$124))</f>
        <v>0</v>
      </c>
      <c r="O46" s="75">
        <v>0</v>
      </c>
      <c r="P46" s="10">
        <f t="shared" ref="P46" si="7">N46*O46/100</f>
        <v>0</v>
      </c>
      <c r="Q46" s="51"/>
      <c r="R46" s="6" t="s">
        <v>20</v>
      </c>
      <c r="S46" s="77">
        <f>(SUMIF($E$5:$E$124,"2", $B$5:$B$124))</f>
        <v>0</v>
      </c>
      <c r="T46" s="75">
        <v>0</v>
      </c>
      <c r="U46" s="16">
        <f t="shared" si="6"/>
        <v>0</v>
      </c>
      <c r="V46" s="63"/>
    </row>
    <row r="47" spans="1:22" x14ac:dyDescent="0.35">
      <c r="A47" s="47"/>
      <c r="B47" s="47"/>
      <c r="C47" s="47"/>
      <c r="D47" s="47"/>
      <c r="E47" s="47"/>
      <c r="F47" s="47"/>
      <c r="G47" s="47"/>
      <c r="H47" s="47"/>
      <c r="I47" s="51"/>
      <c r="J47" s="6" t="s">
        <v>21</v>
      </c>
      <c r="K47" s="7">
        <f>COUNTIF(E5:E124,"3")</f>
        <v>0</v>
      </c>
      <c r="L47" s="63"/>
      <c r="M47" s="6" t="s">
        <v>21</v>
      </c>
      <c r="N47" s="77">
        <f>(SUMIF($E$5:$E$124,"3", $B$5:$B$124))</f>
        <v>0</v>
      </c>
      <c r="O47" s="75">
        <v>-3</v>
      </c>
      <c r="P47" s="10">
        <f>N47*O47/100</f>
        <v>0</v>
      </c>
      <c r="Q47" s="51"/>
      <c r="R47" s="6" t="s">
        <v>21</v>
      </c>
      <c r="S47" s="77">
        <f>(SUMIF($E$5:$E$124,"3", $B$5:$B$124))</f>
        <v>0</v>
      </c>
      <c r="T47" s="78">
        <v>0</v>
      </c>
      <c r="U47" s="16">
        <f t="shared" si="6"/>
        <v>0</v>
      </c>
      <c r="V47" s="63"/>
    </row>
    <row r="48" spans="1:22" x14ac:dyDescent="0.35">
      <c r="A48" s="47"/>
      <c r="B48" s="47"/>
      <c r="C48" s="47"/>
      <c r="D48" s="47"/>
      <c r="E48" s="47"/>
      <c r="F48" s="47"/>
      <c r="G48" s="47"/>
      <c r="H48" s="47"/>
      <c r="I48" s="51"/>
      <c r="J48" s="6" t="s">
        <v>22</v>
      </c>
      <c r="K48" s="7">
        <f>COUNTIF(E5:E124,"4")</f>
        <v>0</v>
      </c>
      <c r="L48" s="51"/>
      <c r="M48" s="6" t="s">
        <v>22</v>
      </c>
      <c r="N48" s="77">
        <f>(SUMIF($E$5:$E$124,"4", $B$5:$B$124))</f>
        <v>0</v>
      </c>
      <c r="O48" s="75">
        <v>-10</v>
      </c>
      <c r="P48" s="10">
        <f>N48*O48/100</f>
        <v>0</v>
      </c>
      <c r="Q48" s="51"/>
      <c r="R48" s="6" t="s">
        <v>22</v>
      </c>
      <c r="S48" s="77">
        <f>(SUMIF($E$5:$E$124,"4", $B$5:$B$124))</f>
        <v>0</v>
      </c>
      <c r="T48" s="75">
        <v>0</v>
      </c>
      <c r="U48" s="16">
        <f t="shared" si="6"/>
        <v>0</v>
      </c>
      <c r="V48" s="63"/>
    </row>
    <row r="49" spans="1:22" x14ac:dyDescent="0.35">
      <c r="A49" s="47"/>
      <c r="B49" s="47"/>
      <c r="C49" s="47"/>
      <c r="D49" s="47"/>
      <c r="E49" s="47"/>
      <c r="F49" s="47"/>
      <c r="G49" s="47"/>
      <c r="H49" s="47"/>
      <c r="I49" s="51"/>
      <c r="J49" s="51"/>
      <c r="K49" s="51"/>
      <c r="L49" s="62"/>
      <c r="M49" s="51"/>
      <c r="N49" s="51"/>
      <c r="O49" s="71"/>
      <c r="P49" s="51"/>
      <c r="Q49" s="51"/>
      <c r="R49" s="51"/>
      <c r="S49" s="51"/>
      <c r="T49" s="61"/>
      <c r="U49" s="51"/>
      <c r="V49" s="63"/>
    </row>
    <row r="50" spans="1:22" ht="17" x14ac:dyDescent="0.4">
      <c r="A50" s="47"/>
      <c r="B50" s="47"/>
      <c r="C50" s="47"/>
      <c r="D50" s="47"/>
      <c r="E50" s="47"/>
      <c r="F50" s="47"/>
      <c r="G50" s="47"/>
      <c r="H50" s="47"/>
      <c r="I50" s="51"/>
      <c r="J50" s="51"/>
      <c r="K50" s="51"/>
      <c r="L50" s="66"/>
      <c r="M50" s="51"/>
      <c r="N50" s="106" t="s">
        <v>38</v>
      </c>
      <c r="O50" s="107"/>
      <c r="P50" s="22" t="s">
        <v>44</v>
      </c>
      <c r="Q50" s="51"/>
      <c r="R50" s="67"/>
      <c r="S50" s="105" t="s">
        <v>39</v>
      </c>
      <c r="T50" s="105"/>
      <c r="U50" s="22" t="s">
        <v>44</v>
      </c>
    </row>
    <row r="51" spans="1:22" x14ac:dyDescent="0.35">
      <c r="A51" s="47"/>
      <c r="B51" s="47"/>
      <c r="C51" s="47"/>
      <c r="D51" s="47"/>
      <c r="E51" s="47"/>
      <c r="F51" s="47"/>
      <c r="G51" s="47"/>
      <c r="H51" s="47"/>
      <c r="I51" s="51"/>
      <c r="J51" s="51"/>
      <c r="K51" s="51"/>
      <c r="L51" s="66"/>
      <c r="M51" s="71"/>
      <c r="N51" s="113" t="s">
        <v>59</v>
      </c>
      <c r="O51" s="113"/>
      <c r="P51" s="10">
        <f>N12*K12/100</f>
        <v>53361.182926829264</v>
      </c>
      <c r="Q51" s="51"/>
      <c r="R51" s="51"/>
      <c r="S51" s="114" t="s">
        <v>59</v>
      </c>
      <c r="T51" s="114"/>
      <c r="U51" s="10">
        <f>S12*K12/100</f>
        <v>51744.209016393441</v>
      </c>
      <c r="V51" s="62"/>
    </row>
    <row r="52" spans="1:22" x14ac:dyDescent="0.35">
      <c r="A52" s="47"/>
      <c r="B52" s="47"/>
      <c r="C52" s="47"/>
      <c r="D52" s="47"/>
      <c r="E52" s="47"/>
      <c r="F52" s="47"/>
      <c r="G52" s="47"/>
      <c r="H52" s="47"/>
      <c r="I52" s="51"/>
      <c r="J52" s="51"/>
      <c r="K52" s="51"/>
      <c r="L52" s="66"/>
      <c r="M52" s="71"/>
      <c r="N52" s="113" t="s">
        <v>61</v>
      </c>
      <c r="O52" s="113"/>
      <c r="P52" s="10">
        <f>SUM(P18:P25)</f>
        <v>-239.85000000000002</v>
      </c>
      <c r="Q52" s="51"/>
      <c r="R52" s="66"/>
      <c r="S52" s="113" t="s">
        <v>61</v>
      </c>
      <c r="T52" s="113"/>
      <c r="U52" s="10">
        <f>SUM(U18:U25)</f>
        <v>-412.20000000000005</v>
      </c>
      <c r="V52" s="61"/>
    </row>
    <row r="53" spans="1:22" x14ac:dyDescent="0.35">
      <c r="A53" s="47"/>
      <c r="B53" s="47"/>
      <c r="C53" s="47"/>
      <c r="D53" s="47"/>
      <c r="E53" s="47"/>
      <c r="F53" s="47"/>
      <c r="G53" s="47"/>
      <c r="H53" s="47"/>
      <c r="I53" s="51"/>
      <c r="J53" s="51"/>
      <c r="K53" s="51"/>
      <c r="L53" s="66"/>
      <c r="M53" s="71"/>
      <c r="N53" s="113" t="s">
        <v>60</v>
      </c>
      <c r="O53" s="113"/>
      <c r="P53" s="10">
        <f>P28+P29+P30+P31+P32+P33+P34+P37+P38+P39+P41+P40+P44+P45+P46+P47+P48</f>
        <v>-1559.7750000000001</v>
      </c>
      <c r="Q53" s="51"/>
      <c r="R53" s="66"/>
      <c r="S53" s="113" t="s">
        <v>60</v>
      </c>
      <c r="T53" s="113"/>
      <c r="U53" s="10">
        <f>U28+U37+U38+U39+U40+U41+U44+U45+U46+U47+U48</f>
        <v>-380.04949999999997</v>
      </c>
      <c r="V53" s="61"/>
    </row>
    <row r="54" spans="1:22" x14ac:dyDescent="0.35">
      <c r="A54" s="47"/>
      <c r="B54" s="47"/>
      <c r="C54" s="47"/>
      <c r="D54" s="47"/>
      <c r="E54" s="47"/>
      <c r="F54" s="47"/>
      <c r="G54" s="47"/>
      <c r="H54" s="47"/>
      <c r="I54" s="51"/>
      <c r="J54" s="51"/>
      <c r="K54" s="51"/>
      <c r="L54" s="66"/>
      <c r="M54" s="71"/>
      <c r="N54" s="115" t="s">
        <v>58</v>
      </c>
      <c r="O54" s="115"/>
      <c r="P54" s="10" cm="1">
        <f t="array" ref="P54">_xlfn.IFS(N8&lt;0,((N11/100)*N8),N8&gt;0,((N13-N11)/100)*N8)</f>
        <v>-102.95100000000006</v>
      </c>
      <c r="Q54" s="51"/>
      <c r="R54" s="73"/>
      <c r="S54" s="115" t="s">
        <v>58</v>
      </c>
      <c r="T54" s="115"/>
      <c r="U54" s="10" cm="1">
        <f t="array" ref="U54">_xlfn.IFS(S8&lt;0,((S11/100)*S8),S8&gt;0,((S13-S11)/100)*S8)</f>
        <v>-53.751000000000055</v>
      </c>
      <c r="V54" s="61"/>
    </row>
    <row r="55" spans="1:22" x14ac:dyDescent="0.35">
      <c r="A55" s="47"/>
      <c r="B55" s="47"/>
      <c r="C55" s="47"/>
      <c r="D55" s="47"/>
      <c r="E55" s="47"/>
      <c r="F55" s="47"/>
      <c r="G55" s="47"/>
      <c r="H55" s="47"/>
      <c r="I55" s="51"/>
      <c r="J55" s="51"/>
      <c r="K55" s="51"/>
      <c r="L55" s="67"/>
      <c r="M55" s="71"/>
      <c r="N55" s="118" t="s">
        <v>89</v>
      </c>
      <c r="O55" s="119"/>
      <c r="P55" s="75">
        <v>0</v>
      </c>
      <c r="Q55" s="51"/>
      <c r="R55" s="73"/>
      <c r="S55" s="118" t="s">
        <v>89</v>
      </c>
      <c r="T55" s="119"/>
      <c r="U55" s="10">
        <f>P55</f>
        <v>0</v>
      </c>
      <c r="V55" s="61"/>
    </row>
    <row r="56" spans="1:22" x14ac:dyDescent="0.35">
      <c r="A56" s="47"/>
      <c r="B56" s="47"/>
      <c r="C56" s="47"/>
      <c r="D56" s="47"/>
      <c r="E56" s="47"/>
      <c r="F56" s="47"/>
      <c r="G56" s="47"/>
      <c r="H56" s="47"/>
      <c r="I56" s="51"/>
      <c r="J56" s="51"/>
      <c r="K56" s="51"/>
      <c r="L56" s="68"/>
      <c r="M56" s="71"/>
      <c r="N56" s="115" t="s">
        <v>27</v>
      </c>
      <c r="O56" s="115"/>
      <c r="P56" s="10">
        <f>-1*K8</f>
        <v>-36</v>
      </c>
      <c r="Q56" s="51"/>
      <c r="R56" s="66"/>
      <c r="S56" s="115" t="s">
        <v>27</v>
      </c>
      <c r="T56" s="115"/>
      <c r="U56" s="10">
        <f>-1*K8</f>
        <v>-36</v>
      </c>
      <c r="V56" s="61"/>
    </row>
    <row r="57" spans="1:22" x14ac:dyDescent="0.35">
      <c r="A57" s="47"/>
      <c r="B57" s="47"/>
      <c r="C57" s="47"/>
      <c r="D57" s="47"/>
      <c r="E57" s="47"/>
      <c r="F57" s="47"/>
      <c r="G57" s="47"/>
      <c r="H57" s="47"/>
      <c r="I57" s="51"/>
      <c r="J57" s="51"/>
      <c r="K57" s="51"/>
      <c r="L57" s="51"/>
      <c r="M57" s="51"/>
      <c r="N57" s="116" t="s">
        <v>56</v>
      </c>
      <c r="O57" s="116"/>
      <c r="P57" s="17">
        <f>SUM(P51:P56)</f>
        <v>51422.606926829263</v>
      </c>
      <c r="Q57" s="51"/>
      <c r="R57" s="74"/>
      <c r="S57" s="116" t="s">
        <v>56</v>
      </c>
      <c r="T57" s="116"/>
      <c r="U57" s="17">
        <f>SUM(U51:U56)</f>
        <v>50862.208516393446</v>
      </c>
      <c r="V57" s="61"/>
    </row>
    <row r="58" spans="1:22" x14ac:dyDescent="0.35">
      <c r="A58" s="47"/>
      <c r="B58" s="47"/>
      <c r="C58" s="47"/>
      <c r="D58" s="47"/>
      <c r="E58" s="47"/>
      <c r="F58" s="47"/>
      <c r="G58" s="47"/>
      <c r="H58" s="47"/>
      <c r="I58" s="51"/>
      <c r="J58" s="51"/>
      <c r="K58" s="51"/>
      <c r="L58" s="51"/>
      <c r="M58" s="51"/>
      <c r="N58" s="51"/>
      <c r="O58" s="51"/>
      <c r="P58" s="51"/>
      <c r="Q58" s="51"/>
      <c r="R58" s="51"/>
      <c r="S58" s="51"/>
      <c r="T58" s="51"/>
      <c r="U58" s="51"/>
    </row>
    <row r="59" spans="1:22" ht="17" x14ac:dyDescent="0.4">
      <c r="A59" s="47"/>
      <c r="B59" s="47"/>
      <c r="C59" s="47"/>
      <c r="D59" s="47"/>
      <c r="E59" s="47"/>
      <c r="F59" s="47"/>
      <c r="G59" s="47"/>
      <c r="H59" s="47"/>
      <c r="I59" s="51"/>
      <c r="J59" s="51"/>
      <c r="K59" s="51"/>
      <c r="L59" s="51"/>
      <c r="M59" s="51"/>
      <c r="N59" s="105" t="s">
        <v>55</v>
      </c>
      <c r="O59" s="105"/>
      <c r="P59" s="22" t="s">
        <v>44</v>
      </c>
      <c r="Q59" s="51"/>
      <c r="R59" s="51"/>
      <c r="S59" s="51"/>
      <c r="T59" s="51"/>
      <c r="U59" s="51"/>
    </row>
    <row r="60" spans="1:22" x14ac:dyDescent="0.35">
      <c r="A60" s="47"/>
      <c r="B60" s="47"/>
      <c r="C60" s="47"/>
      <c r="D60" s="47"/>
      <c r="E60" s="47"/>
      <c r="F60" s="47"/>
      <c r="G60" s="47"/>
      <c r="H60" s="47"/>
      <c r="I60" s="51"/>
      <c r="J60" s="51"/>
      <c r="K60" s="51"/>
      <c r="L60" s="51"/>
      <c r="M60" s="51"/>
      <c r="N60" s="113" t="s">
        <v>56</v>
      </c>
      <c r="O60" s="113"/>
      <c r="P60" s="24">
        <f>P57-U57</f>
        <v>560.39841043581691</v>
      </c>
      <c r="Q60" s="51"/>
      <c r="R60" s="51"/>
      <c r="S60" s="51"/>
      <c r="T60" s="51"/>
      <c r="U60" s="51"/>
    </row>
    <row r="61" spans="1:22" x14ac:dyDescent="0.35">
      <c r="A61" s="47"/>
      <c r="B61" s="47"/>
      <c r="C61" s="47"/>
      <c r="D61" s="47"/>
      <c r="E61" s="47"/>
      <c r="F61" s="47"/>
      <c r="G61" s="47"/>
      <c r="H61" s="47"/>
      <c r="I61" s="51"/>
      <c r="J61" s="51"/>
      <c r="K61" s="51"/>
      <c r="L61" s="51"/>
      <c r="M61" s="51"/>
      <c r="N61" s="113" t="s">
        <v>57</v>
      </c>
      <c r="O61" s="113"/>
      <c r="P61" s="17">
        <f>P60/K8</f>
        <v>15.566622512106026</v>
      </c>
      <c r="Q61" s="51"/>
      <c r="R61" s="51"/>
      <c r="S61" s="51"/>
      <c r="T61" s="51"/>
      <c r="U61" s="51"/>
    </row>
    <row r="62" spans="1:22" x14ac:dyDescent="0.35">
      <c r="A62" s="47"/>
      <c r="B62" s="47"/>
      <c r="C62" s="47"/>
      <c r="D62" s="47"/>
      <c r="E62" s="47"/>
      <c r="F62" s="47"/>
      <c r="G62" s="47"/>
      <c r="H62" s="47"/>
      <c r="I62" s="51"/>
      <c r="J62" s="51"/>
      <c r="K62" s="51"/>
      <c r="L62" s="51"/>
      <c r="M62" s="51"/>
      <c r="N62" s="51"/>
      <c r="O62" s="51"/>
      <c r="P62" s="51"/>
      <c r="Q62" s="51"/>
      <c r="R62" s="51"/>
      <c r="S62" s="51"/>
      <c r="T62" s="51"/>
      <c r="U62" s="51"/>
    </row>
    <row r="63" spans="1:22" x14ac:dyDescent="0.35">
      <c r="A63" s="47"/>
      <c r="B63" s="47"/>
      <c r="C63" s="47"/>
      <c r="D63" s="47"/>
      <c r="E63" s="47"/>
      <c r="F63" s="47"/>
      <c r="G63" s="47"/>
      <c r="H63" s="47"/>
      <c r="I63" s="51"/>
      <c r="J63" s="51"/>
      <c r="K63" s="51"/>
      <c r="L63" s="51"/>
      <c r="M63" s="51"/>
      <c r="N63" s="51"/>
      <c r="O63" s="51"/>
      <c r="P63" s="51"/>
      <c r="Q63" s="51"/>
      <c r="R63" s="51"/>
      <c r="S63" s="51"/>
      <c r="T63" s="51"/>
      <c r="U63" s="51"/>
    </row>
    <row r="64" spans="1:22" x14ac:dyDescent="0.35">
      <c r="A64" s="47"/>
      <c r="B64" s="47"/>
      <c r="C64" s="47"/>
      <c r="D64" s="47"/>
      <c r="E64" s="47"/>
      <c r="F64" s="47"/>
      <c r="G64" s="47"/>
      <c r="H64" s="47"/>
      <c r="I64" s="51"/>
      <c r="J64" s="51"/>
      <c r="K64" s="51"/>
      <c r="L64" s="51"/>
      <c r="M64" s="51"/>
      <c r="N64" s="51"/>
      <c r="O64" s="51"/>
      <c r="P64" s="51"/>
      <c r="Q64" s="51"/>
      <c r="R64" s="51"/>
      <c r="S64" s="51"/>
      <c r="T64" s="51"/>
      <c r="U64" s="51"/>
    </row>
    <row r="65" spans="1:21" x14ac:dyDescent="0.35">
      <c r="A65" s="47"/>
      <c r="B65" s="47"/>
      <c r="C65" s="47"/>
      <c r="D65" s="47"/>
      <c r="E65" s="47"/>
      <c r="F65" s="47"/>
      <c r="G65" s="47"/>
      <c r="H65" s="47"/>
      <c r="I65" s="51"/>
      <c r="J65" s="51"/>
      <c r="K65" s="51"/>
      <c r="L65" s="51"/>
      <c r="M65" s="51"/>
      <c r="N65" s="51"/>
      <c r="O65" s="51"/>
      <c r="P65" s="51"/>
      <c r="Q65" s="51"/>
      <c r="R65" s="51"/>
      <c r="S65" s="51"/>
      <c r="T65" s="51"/>
      <c r="U65" s="51"/>
    </row>
    <row r="66" spans="1:21" x14ac:dyDescent="0.35">
      <c r="A66" s="47"/>
      <c r="B66" s="47"/>
      <c r="C66" s="47"/>
      <c r="D66" s="47"/>
      <c r="E66" s="47"/>
      <c r="F66" s="47"/>
      <c r="G66" s="47"/>
      <c r="H66" s="47"/>
      <c r="I66" s="51"/>
      <c r="J66" s="51"/>
      <c r="K66" s="51"/>
      <c r="L66" s="51"/>
      <c r="M66" s="51"/>
      <c r="N66" s="51"/>
      <c r="O66" s="51"/>
      <c r="P66" s="51"/>
      <c r="Q66" s="51"/>
      <c r="R66" s="51"/>
      <c r="S66" s="51"/>
      <c r="T66" s="51"/>
      <c r="U66" s="51"/>
    </row>
    <row r="67" spans="1:21" x14ac:dyDescent="0.35">
      <c r="A67" s="47"/>
      <c r="B67" s="47"/>
      <c r="C67" s="47"/>
      <c r="D67" s="47"/>
      <c r="E67" s="47"/>
      <c r="F67" s="47"/>
      <c r="G67" s="47"/>
      <c r="H67" s="47"/>
      <c r="I67" s="51"/>
      <c r="J67" s="51"/>
      <c r="K67" s="51"/>
      <c r="L67" s="51"/>
      <c r="M67" s="51"/>
      <c r="N67" s="51"/>
      <c r="O67" s="51"/>
      <c r="P67" s="51"/>
      <c r="Q67" s="51"/>
      <c r="R67" s="51"/>
      <c r="S67" s="51"/>
      <c r="T67" s="51"/>
      <c r="U67" s="51"/>
    </row>
    <row r="68" spans="1:21" x14ac:dyDescent="0.35">
      <c r="A68" s="47"/>
      <c r="B68" s="47"/>
      <c r="C68" s="47"/>
      <c r="D68" s="47"/>
      <c r="E68" s="47"/>
      <c r="F68" s="47"/>
      <c r="G68" s="47"/>
      <c r="H68" s="47"/>
      <c r="I68" s="51"/>
      <c r="J68" s="51"/>
      <c r="K68" s="51"/>
      <c r="L68" s="51"/>
      <c r="M68" s="51"/>
      <c r="N68" s="51"/>
      <c r="O68" s="51"/>
      <c r="P68" s="51"/>
      <c r="Q68" s="51"/>
      <c r="R68" s="51"/>
      <c r="S68" s="51"/>
      <c r="T68" s="51"/>
      <c r="U68" s="51"/>
    </row>
    <row r="69" spans="1:21" x14ac:dyDescent="0.35">
      <c r="A69" s="47"/>
      <c r="B69" s="47"/>
      <c r="C69" s="47"/>
      <c r="D69" s="47"/>
      <c r="E69" s="47"/>
      <c r="F69" s="47"/>
      <c r="G69" s="47"/>
      <c r="H69" s="47"/>
      <c r="I69" s="51"/>
      <c r="J69" s="51"/>
      <c r="K69" s="51"/>
      <c r="L69" s="51"/>
      <c r="M69" s="51"/>
      <c r="N69" s="51"/>
      <c r="O69" s="51"/>
      <c r="P69" s="51"/>
      <c r="Q69" s="51"/>
      <c r="R69" s="51"/>
      <c r="S69" s="51"/>
      <c r="T69" s="51"/>
      <c r="U69" s="51"/>
    </row>
    <row r="70" spans="1:21" x14ac:dyDescent="0.35">
      <c r="A70" s="47"/>
      <c r="B70" s="47"/>
      <c r="C70" s="47"/>
      <c r="D70" s="47"/>
      <c r="E70" s="47"/>
      <c r="F70" s="47"/>
      <c r="G70" s="47"/>
      <c r="H70" s="47"/>
      <c r="I70" s="51"/>
      <c r="J70" s="51"/>
      <c r="K70" s="51"/>
      <c r="L70" s="51"/>
      <c r="M70" s="51"/>
      <c r="N70" s="51"/>
      <c r="O70" s="51"/>
      <c r="P70" s="51"/>
      <c r="Q70" s="51"/>
      <c r="R70" s="51"/>
      <c r="S70" s="51"/>
      <c r="T70" s="51"/>
      <c r="U70" s="51"/>
    </row>
    <row r="71" spans="1:21" x14ac:dyDescent="0.35">
      <c r="A71" s="47"/>
      <c r="B71" s="47"/>
      <c r="C71" s="47"/>
      <c r="D71" s="47"/>
      <c r="E71" s="47"/>
      <c r="F71" s="47"/>
      <c r="G71" s="47"/>
      <c r="H71" s="47"/>
      <c r="I71" s="51"/>
      <c r="J71" s="51"/>
      <c r="K71" s="51"/>
      <c r="L71" s="51"/>
      <c r="M71" s="51"/>
      <c r="N71" s="51"/>
      <c r="O71" s="51"/>
      <c r="P71" s="51"/>
      <c r="Q71" s="51"/>
      <c r="R71" s="51"/>
      <c r="S71" s="51"/>
      <c r="T71" s="51"/>
      <c r="U71" s="51"/>
    </row>
    <row r="72" spans="1:21" x14ac:dyDescent="0.35">
      <c r="A72" s="47"/>
      <c r="B72" s="47"/>
      <c r="C72" s="47"/>
      <c r="D72" s="47"/>
      <c r="E72" s="47"/>
      <c r="F72" s="47"/>
      <c r="G72" s="47"/>
      <c r="H72" s="47"/>
      <c r="I72" s="51"/>
      <c r="J72" s="51"/>
      <c r="K72" s="51"/>
      <c r="L72" s="51"/>
      <c r="M72" s="51"/>
      <c r="N72" s="51"/>
      <c r="O72" s="51"/>
      <c r="P72" s="51"/>
      <c r="Q72" s="51"/>
      <c r="R72" s="51"/>
      <c r="S72" s="51"/>
      <c r="T72" s="51"/>
      <c r="U72" s="51"/>
    </row>
    <row r="73" spans="1:21" x14ac:dyDescent="0.35">
      <c r="A73" s="47"/>
      <c r="B73" s="47"/>
      <c r="C73" s="47"/>
      <c r="D73" s="47"/>
      <c r="E73" s="47"/>
      <c r="F73" s="47"/>
      <c r="G73" s="47"/>
      <c r="H73" s="47"/>
      <c r="I73" s="51"/>
      <c r="J73" s="51"/>
      <c r="K73" s="51"/>
      <c r="L73" s="51"/>
      <c r="M73" s="51"/>
      <c r="N73" s="51"/>
      <c r="O73" s="51"/>
      <c r="P73" s="51"/>
      <c r="Q73" s="51"/>
      <c r="R73" s="51"/>
      <c r="S73" s="51"/>
      <c r="T73" s="51"/>
      <c r="U73" s="51"/>
    </row>
    <row r="74" spans="1:21" x14ac:dyDescent="0.35">
      <c r="A74" s="47"/>
      <c r="B74" s="47"/>
      <c r="C74" s="47"/>
      <c r="D74" s="47"/>
      <c r="E74" s="47"/>
      <c r="F74" s="47"/>
      <c r="G74" s="47"/>
      <c r="H74" s="47"/>
      <c r="I74" s="51"/>
      <c r="J74" s="51"/>
      <c r="K74" s="51"/>
      <c r="L74" s="51"/>
      <c r="M74" s="51"/>
      <c r="N74" s="51"/>
      <c r="O74" s="51"/>
      <c r="P74" s="51"/>
      <c r="Q74" s="51"/>
      <c r="R74" s="51"/>
      <c r="S74" s="51"/>
      <c r="T74" s="51"/>
      <c r="U74" s="51"/>
    </row>
    <row r="75" spans="1:21" x14ac:dyDescent="0.35">
      <c r="A75" s="47"/>
      <c r="B75" s="47"/>
      <c r="C75" s="47"/>
      <c r="D75" s="47"/>
      <c r="E75" s="47"/>
      <c r="F75" s="47"/>
      <c r="G75" s="47"/>
      <c r="H75" s="47"/>
      <c r="I75" s="51"/>
      <c r="J75" s="51"/>
      <c r="K75" s="51"/>
      <c r="L75" s="51"/>
      <c r="M75" s="51"/>
      <c r="N75" s="51"/>
      <c r="O75" s="51"/>
      <c r="P75" s="51"/>
      <c r="Q75" s="51"/>
      <c r="R75" s="51"/>
      <c r="S75" s="51"/>
      <c r="T75" s="51"/>
      <c r="U75" s="51"/>
    </row>
    <row r="76" spans="1:21" x14ac:dyDescent="0.35">
      <c r="A76" s="47"/>
      <c r="B76" s="47"/>
      <c r="C76" s="47"/>
      <c r="D76" s="47"/>
      <c r="E76" s="47"/>
      <c r="F76" s="47"/>
      <c r="G76" s="47"/>
      <c r="H76" s="47"/>
      <c r="I76" s="51"/>
      <c r="J76" s="51"/>
      <c r="K76" s="51"/>
      <c r="L76" s="51"/>
      <c r="M76" s="51"/>
      <c r="N76" s="51"/>
      <c r="O76" s="51"/>
      <c r="P76" s="51"/>
      <c r="Q76" s="51"/>
      <c r="R76" s="51"/>
      <c r="S76" s="51"/>
      <c r="T76" s="51"/>
      <c r="U76" s="51"/>
    </row>
    <row r="77" spans="1:21" x14ac:dyDescent="0.35">
      <c r="A77" s="47"/>
      <c r="B77" s="47"/>
      <c r="C77" s="47"/>
      <c r="D77" s="47"/>
      <c r="E77" s="47"/>
      <c r="F77" s="47"/>
      <c r="G77" s="47"/>
      <c r="H77" s="47"/>
      <c r="I77" s="51"/>
      <c r="J77" s="51"/>
      <c r="K77" s="51"/>
      <c r="L77" s="51"/>
      <c r="M77" s="51"/>
      <c r="N77" s="51"/>
      <c r="O77" s="51"/>
      <c r="P77" s="51"/>
      <c r="Q77" s="51"/>
      <c r="R77" s="51"/>
      <c r="S77" s="51"/>
      <c r="T77" s="51"/>
      <c r="U77" s="51"/>
    </row>
    <row r="78" spans="1:21" x14ac:dyDescent="0.35">
      <c r="A78" s="47"/>
      <c r="B78" s="47"/>
      <c r="C78" s="47"/>
      <c r="D78" s="47"/>
      <c r="E78" s="47"/>
      <c r="F78" s="47"/>
      <c r="G78" s="47"/>
      <c r="H78" s="47"/>
      <c r="I78" s="51"/>
      <c r="J78" s="51"/>
      <c r="K78" s="51"/>
      <c r="L78" s="51"/>
      <c r="M78" s="51"/>
      <c r="N78" s="51"/>
      <c r="O78" s="51"/>
      <c r="P78" s="51"/>
      <c r="Q78" s="51"/>
      <c r="R78" s="51"/>
      <c r="S78" s="51"/>
      <c r="T78" s="51"/>
      <c r="U78" s="51"/>
    </row>
    <row r="79" spans="1:21" x14ac:dyDescent="0.35">
      <c r="A79" s="47"/>
      <c r="B79" s="47"/>
      <c r="C79" s="47"/>
      <c r="D79" s="47"/>
      <c r="E79" s="47"/>
      <c r="F79" s="47"/>
      <c r="G79" s="47"/>
      <c r="H79" s="47"/>
      <c r="I79" s="51"/>
      <c r="J79" s="51"/>
      <c r="K79" s="51"/>
      <c r="L79" s="51"/>
      <c r="M79" s="51"/>
      <c r="N79" s="51"/>
      <c r="O79" s="51"/>
      <c r="P79" s="51"/>
      <c r="Q79" s="51"/>
      <c r="R79" s="51"/>
      <c r="S79" s="51"/>
      <c r="T79" s="51"/>
      <c r="U79" s="51"/>
    </row>
    <row r="80" spans="1:21" x14ac:dyDescent="0.35">
      <c r="A80" s="47"/>
      <c r="B80" s="47"/>
      <c r="C80" s="47"/>
      <c r="D80" s="47"/>
      <c r="E80" s="47"/>
      <c r="F80" s="47"/>
      <c r="G80" s="47"/>
      <c r="H80" s="47"/>
      <c r="I80" s="51"/>
      <c r="J80" s="51"/>
      <c r="K80" s="51"/>
      <c r="L80" s="51"/>
      <c r="M80" s="51"/>
      <c r="N80" s="51"/>
      <c r="O80" s="51"/>
      <c r="P80" s="51"/>
      <c r="Q80" s="51"/>
      <c r="R80" s="51"/>
      <c r="S80" s="51"/>
      <c r="T80" s="51"/>
      <c r="U80" s="51"/>
    </row>
    <row r="81" spans="1:21" x14ac:dyDescent="0.35">
      <c r="A81" s="47"/>
      <c r="B81" s="47"/>
      <c r="C81" s="47"/>
      <c r="D81" s="47"/>
      <c r="E81" s="47"/>
      <c r="F81" s="47"/>
      <c r="G81" s="47"/>
      <c r="H81" s="47"/>
      <c r="I81" s="51"/>
      <c r="J81" s="51"/>
      <c r="K81" s="51"/>
      <c r="L81" s="51"/>
      <c r="M81" s="51"/>
      <c r="N81" s="51"/>
      <c r="O81" s="51"/>
      <c r="P81" s="51"/>
      <c r="Q81" s="51"/>
      <c r="R81" s="51"/>
      <c r="S81" s="51"/>
      <c r="T81" s="51"/>
      <c r="U81" s="51"/>
    </row>
    <row r="82" spans="1:21" x14ac:dyDescent="0.35">
      <c r="A82" s="47"/>
      <c r="B82" s="47"/>
      <c r="C82" s="47"/>
      <c r="D82" s="47"/>
      <c r="E82" s="47"/>
      <c r="F82" s="47"/>
      <c r="G82" s="47"/>
      <c r="H82" s="47"/>
      <c r="I82" s="51"/>
      <c r="J82" s="51"/>
      <c r="K82" s="51"/>
      <c r="L82" s="51"/>
      <c r="M82" s="51"/>
      <c r="N82" s="51"/>
      <c r="O82" s="51"/>
      <c r="P82" s="51"/>
      <c r="Q82" s="51"/>
      <c r="R82" s="51"/>
      <c r="S82" s="51"/>
      <c r="T82" s="51"/>
      <c r="U82" s="51"/>
    </row>
    <row r="83" spans="1:21" x14ac:dyDescent="0.35">
      <c r="A83" s="47"/>
      <c r="B83" s="47"/>
      <c r="C83" s="47"/>
      <c r="D83" s="47"/>
      <c r="E83" s="47"/>
      <c r="F83" s="47"/>
      <c r="G83" s="47"/>
      <c r="H83" s="47"/>
      <c r="I83" s="51"/>
      <c r="J83" s="51"/>
      <c r="K83" s="51"/>
      <c r="L83" s="51"/>
      <c r="M83" s="51"/>
      <c r="N83" s="51"/>
      <c r="O83" s="51"/>
      <c r="P83" s="51"/>
      <c r="Q83" s="51"/>
      <c r="R83" s="51"/>
      <c r="S83" s="51"/>
      <c r="T83" s="51"/>
      <c r="U83" s="51"/>
    </row>
    <row r="84" spans="1:21" x14ac:dyDescent="0.35">
      <c r="A84" s="47"/>
      <c r="B84" s="47"/>
      <c r="C84" s="47"/>
      <c r="D84" s="47"/>
      <c r="E84" s="47"/>
      <c r="F84" s="47"/>
      <c r="G84" s="47"/>
      <c r="H84" s="47"/>
      <c r="I84" s="51"/>
      <c r="J84" s="51"/>
      <c r="K84" s="51"/>
      <c r="L84" s="51"/>
      <c r="M84" s="51"/>
      <c r="N84" s="51"/>
      <c r="O84" s="51"/>
      <c r="P84" s="51"/>
      <c r="Q84" s="51"/>
      <c r="R84" s="51"/>
      <c r="S84" s="51"/>
      <c r="T84" s="51"/>
      <c r="U84" s="51"/>
    </row>
    <row r="85" spans="1:21" x14ac:dyDescent="0.35">
      <c r="A85" s="47"/>
      <c r="B85" s="47"/>
      <c r="C85" s="47"/>
      <c r="D85" s="47"/>
      <c r="E85" s="47"/>
      <c r="F85" s="47"/>
      <c r="G85" s="47"/>
      <c r="H85" s="47"/>
      <c r="I85" s="51"/>
      <c r="J85" s="51"/>
      <c r="K85" s="51"/>
      <c r="L85" s="51"/>
      <c r="M85" s="51"/>
      <c r="N85" s="51"/>
      <c r="O85" s="51"/>
      <c r="P85" s="51"/>
      <c r="Q85" s="51"/>
      <c r="R85" s="51"/>
      <c r="S85" s="51"/>
      <c r="T85" s="51"/>
      <c r="U85" s="51"/>
    </row>
    <row r="86" spans="1:21" x14ac:dyDescent="0.35">
      <c r="A86" s="47"/>
      <c r="B86" s="47"/>
      <c r="C86" s="47"/>
      <c r="D86" s="47"/>
      <c r="E86" s="47"/>
      <c r="F86" s="47"/>
      <c r="G86" s="47"/>
      <c r="H86" s="47"/>
      <c r="I86" s="51"/>
      <c r="J86" s="51"/>
      <c r="K86" s="51"/>
      <c r="L86" s="51"/>
      <c r="M86" s="51"/>
      <c r="N86" s="51"/>
      <c r="O86" s="51"/>
      <c r="P86" s="51"/>
      <c r="Q86" s="51"/>
      <c r="R86" s="51"/>
      <c r="S86" s="51"/>
      <c r="T86" s="51"/>
      <c r="U86" s="51"/>
    </row>
    <row r="87" spans="1:21" x14ac:dyDescent="0.35">
      <c r="A87" s="47"/>
      <c r="B87" s="47"/>
      <c r="C87" s="47"/>
      <c r="D87" s="47"/>
      <c r="E87" s="47"/>
      <c r="F87" s="47"/>
      <c r="G87" s="47"/>
      <c r="H87" s="47"/>
      <c r="I87" s="51"/>
      <c r="J87" s="51"/>
      <c r="K87" s="51"/>
      <c r="L87" s="51"/>
      <c r="M87" s="51"/>
      <c r="N87" s="51"/>
      <c r="O87" s="51"/>
      <c r="P87" s="51"/>
      <c r="Q87" s="51"/>
      <c r="R87" s="51"/>
      <c r="S87" s="51"/>
      <c r="T87" s="51"/>
      <c r="U87" s="51"/>
    </row>
    <row r="88" spans="1:21" x14ac:dyDescent="0.35">
      <c r="A88" s="47"/>
      <c r="B88" s="47"/>
      <c r="C88" s="47"/>
      <c r="D88" s="47"/>
      <c r="E88" s="47"/>
      <c r="F88" s="47"/>
      <c r="G88" s="47"/>
      <c r="H88" s="47"/>
      <c r="I88" s="51"/>
      <c r="J88" s="51"/>
      <c r="K88" s="51"/>
      <c r="L88" s="51"/>
      <c r="M88" s="51"/>
      <c r="N88" s="51"/>
      <c r="O88" s="51"/>
      <c r="P88" s="51"/>
      <c r="Q88" s="51"/>
      <c r="R88" s="51"/>
      <c r="S88" s="51"/>
      <c r="T88" s="51"/>
      <c r="U88" s="51"/>
    </row>
    <row r="89" spans="1:21" x14ac:dyDescent="0.35">
      <c r="A89" s="47"/>
      <c r="B89" s="47"/>
      <c r="C89" s="47"/>
      <c r="D89" s="47"/>
      <c r="E89" s="47"/>
      <c r="F89" s="47"/>
      <c r="G89" s="47"/>
      <c r="H89" s="47"/>
      <c r="I89" s="51"/>
      <c r="J89" s="51"/>
      <c r="K89" s="51"/>
      <c r="L89" s="51"/>
      <c r="M89" s="51"/>
      <c r="N89" s="51"/>
      <c r="O89" s="51"/>
      <c r="P89" s="51"/>
      <c r="Q89" s="51"/>
      <c r="R89" s="51"/>
      <c r="S89" s="51"/>
      <c r="T89" s="51"/>
      <c r="U89" s="51"/>
    </row>
    <row r="90" spans="1:21" x14ac:dyDescent="0.35">
      <c r="A90" s="47"/>
      <c r="B90" s="47"/>
      <c r="C90" s="47"/>
      <c r="D90" s="47"/>
      <c r="E90" s="47"/>
      <c r="F90" s="47"/>
      <c r="G90" s="47"/>
      <c r="H90" s="47"/>
      <c r="I90" s="51"/>
      <c r="J90" s="51"/>
      <c r="K90" s="51"/>
      <c r="L90" s="51"/>
      <c r="M90" s="51"/>
      <c r="N90" s="51"/>
      <c r="O90" s="51"/>
      <c r="P90" s="51"/>
      <c r="Q90" s="51"/>
      <c r="R90" s="51"/>
      <c r="S90" s="51"/>
      <c r="T90" s="51"/>
      <c r="U90" s="51"/>
    </row>
    <row r="91" spans="1:21" x14ac:dyDescent="0.35">
      <c r="A91" s="47"/>
      <c r="B91" s="47"/>
      <c r="C91" s="47"/>
      <c r="D91" s="47"/>
      <c r="E91" s="47"/>
      <c r="F91" s="47"/>
      <c r="G91" s="47"/>
      <c r="H91" s="47"/>
      <c r="I91" s="51"/>
      <c r="J91" s="51"/>
      <c r="K91" s="51"/>
      <c r="L91" s="51"/>
      <c r="M91" s="51"/>
      <c r="N91" s="51"/>
      <c r="O91" s="51"/>
      <c r="P91" s="51"/>
      <c r="Q91" s="51"/>
      <c r="R91" s="51"/>
      <c r="S91" s="51"/>
      <c r="T91" s="51"/>
      <c r="U91" s="51"/>
    </row>
    <row r="92" spans="1:21" x14ac:dyDescent="0.35">
      <c r="A92" s="47"/>
      <c r="B92" s="47"/>
      <c r="C92" s="47"/>
      <c r="D92" s="47"/>
      <c r="E92" s="47"/>
      <c r="F92" s="47"/>
      <c r="G92" s="47"/>
      <c r="H92" s="47"/>
      <c r="I92" s="51"/>
      <c r="J92" s="51"/>
      <c r="K92" s="51"/>
      <c r="L92" s="51"/>
      <c r="M92" s="51"/>
      <c r="N92" s="51"/>
      <c r="O92" s="51"/>
      <c r="P92" s="51"/>
      <c r="Q92" s="51"/>
      <c r="R92" s="51"/>
      <c r="S92" s="51"/>
      <c r="T92" s="51"/>
      <c r="U92" s="51"/>
    </row>
    <row r="93" spans="1:21" x14ac:dyDescent="0.35">
      <c r="A93" s="47"/>
      <c r="B93" s="47"/>
      <c r="C93" s="47"/>
      <c r="D93" s="47"/>
      <c r="E93" s="47"/>
      <c r="F93" s="47"/>
      <c r="G93" s="47"/>
      <c r="H93" s="47"/>
      <c r="I93" s="51"/>
      <c r="J93" s="51"/>
      <c r="K93" s="51"/>
      <c r="L93" s="51"/>
      <c r="M93" s="51"/>
      <c r="N93" s="51"/>
      <c r="O93" s="51"/>
      <c r="P93" s="51"/>
      <c r="Q93" s="51"/>
      <c r="R93" s="51"/>
      <c r="S93" s="51"/>
      <c r="T93" s="51"/>
      <c r="U93" s="51"/>
    </row>
    <row r="94" spans="1:21" x14ac:dyDescent="0.35">
      <c r="A94" s="47"/>
      <c r="B94" s="47"/>
      <c r="C94" s="47"/>
      <c r="D94" s="47"/>
      <c r="E94" s="47"/>
      <c r="F94" s="47"/>
      <c r="G94" s="47"/>
      <c r="H94" s="47"/>
      <c r="I94" s="51"/>
      <c r="J94" s="51"/>
      <c r="K94" s="51"/>
      <c r="L94" s="51"/>
      <c r="M94" s="51"/>
      <c r="N94" s="51"/>
      <c r="O94" s="51"/>
      <c r="P94" s="51"/>
      <c r="Q94" s="51"/>
      <c r="R94" s="51"/>
      <c r="S94" s="51"/>
      <c r="T94" s="51"/>
      <c r="U94" s="51"/>
    </row>
    <row r="95" spans="1:21" x14ac:dyDescent="0.35">
      <c r="A95" s="47"/>
      <c r="B95" s="47"/>
      <c r="C95" s="47"/>
      <c r="D95" s="47"/>
      <c r="E95" s="47"/>
      <c r="F95" s="47"/>
      <c r="G95" s="47"/>
      <c r="H95" s="47"/>
      <c r="I95" s="51"/>
      <c r="J95" s="51"/>
      <c r="K95" s="51"/>
      <c r="L95" s="51"/>
      <c r="M95" s="51"/>
      <c r="N95" s="51"/>
      <c r="O95" s="51"/>
      <c r="P95" s="51"/>
      <c r="Q95" s="51"/>
      <c r="R95" s="51"/>
      <c r="S95" s="51"/>
      <c r="T95" s="51"/>
      <c r="U95" s="51"/>
    </row>
    <row r="96" spans="1:21" x14ac:dyDescent="0.35">
      <c r="A96" s="47"/>
      <c r="B96" s="47"/>
      <c r="C96" s="47"/>
      <c r="D96" s="47"/>
      <c r="E96" s="47"/>
      <c r="F96" s="47"/>
      <c r="G96" s="47"/>
      <c r="H96" s="47"/>
      <c r="I96" s="51"/>
      <c r="J96" s="51"/>
      <c r="K96" s="51"/>
      <c r="L96" s="51"/>
      <c r="M96" s="51"/>
      <c r="N96" s="51"/>
      <c r="O96" s="51"/>
      <c r="P96" s="51"/>
      <c r="Q96" s="51"/>
      <c r="R96" s="51"/>
      <c r="S96" s="51"/>
      <c r="T96" s="51"/>
      <c r="U96" s="51"/>
    </row>
    <row r="97" spans="1:21" x14ac:dyDescent="0.35">
      <c r="A97" s="47"/>
      <c r="B97" s="47"/>
      <c r="C97" s="47"/>
      <c r="D97" s="47"/>
      <c r="E97" s="47"/>
      <c r="F97" s="47"/>
      <c r="G97" s="47"/>
      <c r="H97" s="47"/>
      <c r="I97" s="51"/>
      <c r="J97" s="51"/>
      <c r="K97" s="51"/>
      <c r="L97" s="51"/>
      <c r="M97" s="51"/>
      <c r="N97" s="51"/>
      <c r="O97" s="51"/>
      <c r="P97" s="51"/>
      <c r="Q97" s="51"/>
      <c r="R97" s="51"/>
      <c r="S97" s="51"/>
      <c r="T97" s="51"/>
      <c r="U97" s="51"/>
    </row>
    <row r="98" spans="1:21" x14ac:dyDescent="0.35">
      <c r="A98" s="47"/>
      <c r="B98" s="47"/>
      <c r="C98" s="47"/>
      <c r="D98" s="47"/>
      <c r="E98" s="47"/>
      <c r="F98" s="47"/>
      <c r="G98" s="47"/>
      <c r="H98" s="47"/>
      <c r="I98" s="51"/>
      <c r="J98" s="51"/>
      <c r="K98" s="51"/>
      <c r="L98" s="51"/>
      <c r="M98" s="51"/>
      <c r="N98" s="51"/>
      <c r="O98" s="51"/>
      <c r="P98" s="51"/>
      <c r="Q98" s="51"/>
      <c r="R98" s="51"/>
      <c r="S98" s="51"/>
      <c r="T98" s="51"/>
      <c r="U98" s="51"/>
    </row>
    <row r="99" spans="1:21" x14ac:dyDescent="0.35">
      <c r="A99" s="47"/>
      <c r="B99" s="47"/>
      <c r="C99" s="47"/>
      <c r="D99" s="47"/>
      <c r="E99" s="47"/>
      <c r="F99" s="47"/>
      <c r="G99" s="47"/>
      <c r="H99" s="47"/>
      <c r="I99" s="51"/>
      <c r="J99" s="51"/>
      <c r="K99" s="51"/>
      <c r="L99" s="51"/>
      <c r="M99" s="51"/>
      <c r="N99" s="51"/>
      <c r="O99" s="51"/>
      <c r="P99" s="51"/>
      <c r="Q99" s="51"/>
      <c r="R99" s="51"/>
      <c r="S99" s="51"/>
      <c r="T99" s="51"/>
      <c r="U99" s="51"/>
    </row>
    <row r="100" spans="1:21" x14ac:dyDescent="0.35">
      <c r="A100" s="47"/>
      <c r="B100" s="47"/>
      <c r="C100" s="47"/>
      <c r="D100" s="47"/>
      <c r="E100" s="47"/>
      <c r="F100" s="47"/>
      <c r="G100" s="47"/>
      <c r="H100" s="47"/>
      <c r="I100" s="51"/>
      <c r="J100" s="51"/>
      <c r="K100" s="51"/>
      <c r="L100" s="51"/>
      <c r="M100" s="51"/>
      <c r="N100" s="51"/>
      <c r="O100" s="51"/>
      <c r="P100" s="51"/>
      <c r="Q100" s="51"/>
      <c r="R100" s="51"/>
      <c r="S100" s="51"/>
      <c r="T100" s="51"/>
      <c r="U100" s="51"/>
    </row>
    <row r="101" spans="1:21" x14ac:dyDescent="0.35">
      <c r="A101" s="47"/>
      <c r="B101" s="47"/>
      <c r="C101" s="47"/>
      <c r="D101" s="47"/>
      <c r="E101" s="47"/>
      <c r="F101" s="47"/>
      <c r="G101" s="47"/>
      <c r="H101" s="47"/>
      <c r="I101" s="51"/>
      <c r="J101" s="51"/>
      <c r="K101" s="51"/>
      <c r="L101" s="51"/>
      <c r="M101" s="51"/>
      <c r="N101" s="51"/>
      <c r="O101" s="51"/>
      <c r="P101" s="51"/>
      <c r="Q101" s="51"/>
      <c r="R101" s="51"/>
      <c r="S101" s="51"/>
      <c r="T101" s="51"/>
      <c r="U101" s="51"/>
    </row>
    <row r="102" spans="1:21" x14ac:dyDescent="0.35">
      <c r="A102" s="47"/>
      <c r="B102" s="47"/>
      <c r="C102" s="47"/>
      <c r="D102" s="47"/>
      <c r="E102" s="47"/>
      <c r="F102" s="47"/>
      <c r="G102" s="47"/>
      <c r="H102" s="47"/>
      <c r="I102" s="51"/>
      <c r="J102" s="51"/>
      <c r="K102" s="51"/>
      <c r="L102" s="51"/>
      <c r="M102" s="51"/>
      <c r="N102" s="51"/>
      <c r="O102" s="51"/>
      <c r="P102" s="51"/>
      <c r="Q102" s="51"/>
      <c r="R102" s="51"/>
      <c r="S102" s="51"/>
      <c r="T102" s="51"/>
      <c r="U102" s="51"/>
    </row>
    <row r="103" spans="1:21" x14ac:dyDescent="0.35">
      <c r="A103" s="47"/>
      <c r="B103" s="47"/>
      <c r="C103" s="47"/>
      <c r="D103" s="47"/>
      <c r="E103" s="47"/>
      <c r="F103" s="47"/>
      <c r="G103" s="47"/>
      <c r="H103" s="47"/>
      <c r="I103" s="51"/>
      <c r="J103" s="51"/>
      <c r="K103" s="51"/>
      <c r="L103" s="51"/>
      <c r="M103" s="51"/>
      <c r="N103" s="51"/>
      <c r="O103" s="51"/>
      <c r="P103" s="51"/>
      <c r="Q103" s="51"/>
      <c r="R103" s="51"/>
      <c r="S103" s="51"/>
      <c r="T103" s="51"/>
      <c r="U103" s="51"/>
    </row>
    <row r="104" spans="1:21" x14ac:dyDescent="0.35">
      <c r="A104" s="47"/>
      <c r="B104" s="47"/>
      <c r="C104" s="47"/>
      <c r="D104" s="47"/>
      <c r="E104" s="47"/>
      <c r="F104" s="47"/>
      <c r="G104" s="47"/>
      <c r="H104" s="47"/>
      <c r="I104" s="51"/>
      <c r="J104" s="51"/>
      <c r="K104" s="51"/>
      <c r="L104" s="51"/>
      <c r="M104" s="51"/>
      <c r="N104" s="51"/>
      <c r="O104" s="51"/>
      <c r="P104" s="51"/>
      <c r="Q104" s="51"/>
      <c r="R104" s="51"/>
      <c r="S104" s="51"/>
      <c r="T104" s="51"/>
      <c r="U104" s="51"/>
    </row>
    <row r="105" spans="1:21" x14ac:dyDescent="0.35">
      <c r="A105" s="47"/>
      <c r="B105" s="47"/>
      <c r="C105" s="47"/>
      <c r="D105" s="47"/>
      <c r="E105" s="47"/>
      <c r="F105" s="47"/>
      <c r="G105" s="47"/>
      <c r="H105" s="47"/>
      <c r="I105" s="51"/>
      <c r="J105" s="51"/>
      <c r="K105" s="51"/>
      <c r="L105" s="51"/>
      <c r="M105" s="51"/>
      <c r="N105" s="51"/>
      <c r="O105" s="51"/>
      <c r="P105" s="51"/>
      <c r="Q105" s="51"/>
      <c r="R105" s="51"/>
      <c r="S105" s="51"/>
      <c r="T105" s="51"/>
      <c r="U105" s="51"/>
    </row>
    <row r="106" spans="1:21" x14ac:dyDescent="0.35">
      <c r="A106" s="47"/>
      <c r="B106" s="47"/>
      <c r="C106" s="47"/>
      <c r="D106" s="47"/>
      <c r="E106" s="47"/>
      <c r="F106" s="47"/>
      <c r="G106" s="47"/>
      <c r="H106" s="47"/>
      <c r="I106" s="51"/>
      <c r="J106" s="51"/>
      <c r="K106" s="51"/>
      <c r="L106" s="51"/>
      <c r="M106" s="51"/>
      <c r="N106" s="51"/>
      <c r="O106" s="51"/>
      <c r="P106" s="51"/>
      <c r="Q106" s="51"/>
      <c r="R106" s="51"/>
      <c r="S106" s="51"/>
      <c r="T106" s="51"/>
      <c r="U106" s="51"/>
    </row>
    <row r="107" spans="1:21" x14ac:dyDescent="0.35">
      <c r="A107" s="47"/>
      <c r="B107" s="47"/>
      <c r="C107" s="47"/>
      <c r="D107" s="47"/>
      <c r="E107" s="47"/>
      <c r="F107" s="47"/>
      <c r="G107" s="47"/>
      <c r="H107" s="47"/>
      <c r="I107" s="51"/>
      <c r="J107" s="51"/>
      <c r="K107" s="51"/>
      <c r="L107" s="51"/>
      <c r="M107" s="51"/>
      <c r="N107" s="51"/>
      <c r="O107" s="51"/>
      <c r="P107" s="51"/>
      <c r="Q107" s="51"/>
      <c r="R107" s="51"/>
      <c r="S107" s="51"/>
      <c r="T107" s="51"/>
      <c r="U107" s="51"/>
    </row>
    <row r="108" spans="1:21" x14ac:dyDescent="0.35">
      <c r="A108" s="47"/>
      <c r="B108" s="47"/>
      <c r="C108" s="47"/>
      <c r="D108" s="47"/>
      <c r="E108" s="47"/>
      <c r="F108" s="47"/>
      <c r="G108" s="47"/>
      <c r="H108" s="47"/>
      <c r="I108" s="51"/>
      <c r="J108" s="51"/>
      <c r="K108" s="51"/>
      <c r="L108" s="51"/>
      <c r="M108" s="51"/>
      <c r="N108" s="51"/>
      <c r="O108" s="51"/>
      <c r="P108" s="51"/>
      <c r="Q108" s="51"/>
      <c r="R108" s="51"/>
      <c r="S108" s="51"/>
      <c r="T108" s="51"/>
      <c r="U108" s="51"/>
    </row>
    <row r="109" spans="1:21" x14ac:dyDescent="0.35">
      <c r="A109" s="47"/>
      <c r="B109" s="47"/>
      <c r="C109" s="47"/>
      <c r="D109" s="47"/>
      <c r="E109" s="47"/>
      <c r="F109" s="47"/>
      <c r="G109" s="47"/>
      <c r="H109" s="47"/>
      <c r="I109" s="51"/>
      <c r="J109" s="51"/>
      <c r="K109" s="51"/>
      <c r="L109" s="51"/>
      <c r="M109" s="51"/>
      <c r="N109" s="51"/>
      <c r="O109" s="51"/>
      <c r="P109" s="51"/>
      <c r="Q109" s="51"/>
      <c r="R109" s="51"/>
      <c r="S109" s="51"/>
      <c r="T109" s="51"/>
      <c r="U109" s="51"/>
    </row>
    <row r="110" spans="1:21" x14ac:dyDescent="0.35">
      <c r="A110" s="47"/>
      <c r="B110" s="47"/>
      <c r="C110" s="47"/>
      <c r="D110" s="47"/>
      <c r="E110" s="47"/>
      <c r="F110" s="47"/>
      <c r="G110" s="47"/>
      <c r="H110" s="47"/>
      <c r="I110" s="51"/>
      <c r="J110" s="51"/>
      <c r="K110" s="51"/>
      <c r="L110" s="51"/>
      <c r="M110" s="51"/>
      <c r="N110" s="51"/>
      <c r="O110" s="51"/>
      <c r="P110" s="51"/>
      <c r="Q110" s="51"/>
      <c r="R110" s="51"/>
      <c r="S110" s="51"/>
      <c r="T110" s="51"/>
      <c r="U110" s="51"/>
    </row>
    <row r="111" spans="1:21" x14ac:dyDescent="0.35">
      <c r="A111" s="47"/>
      <c r="B111" s="47"/>
      <c r="C111" s="47"/>
      <c r="D111" s="47"/>
      <c r="E111" s="47"/>
      <c r="F111" s="47"/>
      <c r="G111" s="47"/>
      <c r="H111" s="47"/>
      <c r="I111" s="51"/>
      <c r="J111" s="51"/>
      <c r="K111" s="51"/>
      <c r="L111" s="51"/>
      <c r="M111" s="51"/>
      <c r="N111" s="51"/>
      <c r="O111" s="51"/>
      <c r="P111" s="51"/>
      <c r="Q111" s="51"/>
      <c r="R111" s="51"/>
      <c r="S111" s="51"/>
      <c r="T111" s="51"/>
      <c r="U111" s="51"/>
    </row>
    <row r="112" spans="1:21" x14ac:dyDescent="0.35">
      <c r="A112" s="47"/>
      <c r="B112" s="47"/>
      <c r="C112" s="47"/>
      <c r="D112" s="47"/>
      <c r="E112" s="47"/>
      <c r="F112" s="47"/>
      <c r="G112" s="47"/>
      <c r="H112" s="47"/>
      <c r="I112" s="51"/>
      <c r="J112" s="51"/>
      <c r="K112" s="51"/>
      <c r="L112" s="51"/>
      <c r="M112" s="51"/>
      <c r="N112" s="51"/>
      <c r="O112" s="51"/>
      <c r="P112" s="51"/>
      <c r="Q112" s="51"/>
      <c r="R112" s="51"/>
      <c r="S112" s="51"/>
      <c r="T112" s="51"/>
      <c r="U112" s="51"/>
    </row>
    <row r="113" spans="1:21" x14ac:dyDescent="0.35">
      <c r="A113" s="47"/>
      <c r="B113" s="47"/>
      <c r="C113" s="47"/>
      <c r="D113" s="47"/>
      <c r="E113" s="47"/>
      <c r="F113" s="47"/>
      <c r="G113" s="47"/>
      <c r="H113" s="47"/>
      <c r="I113" s="51"/>
      <c r="J113" s="51"/>
      <c r="K113" s="51"/>
      <c r="L113" s="51"/>
      <c r="M113" s="51"/>
      <c r="N113" s="51"/>
      <c r="O113" s="51"/>
      <c r="P113" s="51"/>
      <c r="Q113" s="51"/>
      <c r="R113" s="51"/>
      <c r="S113" s="51"/>
      <c r="T113" s="51"/>
      <c r="U113" s="51"/>
    </row>
    <row r="114" spans="1:21" x14ac:dyDescent="0.35">
      <c r="A114" s="47"/>
      <c r="B114" s="47"/>
      <c r="C114" s="47"/>
      <c r="D114" s="47"/>
      <c r="E114" s="47"/>
      <c r="F114" s="47"/>
      <c r="G114" s="47"/>
      <c r="H114" s="47"/>
      <c r="I114" s="51"/>
      <c r="J114" s="51"/>
      <c r="K114" s="51"/>
      <c r="L114" s="51"/>
      <c r="M114" s="51"/>
      <c r="N114" s="51"/>
      <c r="O114" s="51"/>
      <c r="P114" s="51"/>
      <c r="Q114" s="51"/>
      <c r="R114" s="51"/>
      <c r="S114" s="51"/>
      <c r="T114" s="51"/>
      <c r="U114" s="51"/>
    </row>
    <row r="115" spans="1:21" x14ac:dyDescent="0.35">
      <c r="A115" s="47"/>
      <c r="B115" s="47"/>
      <c r="C115" s="47"/>
      <c r="D115" s="47"/>
      <c r="E115" s="47"/>
      <c r="F115" s="47"/>
      <c r="G115" s="47"/>
      <c r="H115" s="47"/>
      <c r="I115" s="51"/>
      <c r="J115" s="51"/>
      <c r="K115" s="51"/>
      <c r="L115" s="51"/>
      <c r="M115" s="51"/>
      <c r="N115" s="51"/>
      <c r="O115" s="51"/>
      <c r="P115" s="51"/>
      <c r="Q115" s="51"/>
      <c r="R115" s="51"/>
      <c r="S115" s="51"/>
      <c r="T115" s="51"/>
      <c r="U115" s="51"/>
    </row>
    <row r="116" spans="1:21" x14ac:dyDescent="0.35">
      <c r="A116" s="47"/>
      <c r="B116" s="47"/>
      <c r="C116" s="47"/>
      <c r="D116" s="47"/>
      <c r="E116" s="47"/>
      <c r="F116" s="47"/>
      <c r="G116" s="47"/>
      <c r="H116" s="47"/>
      <c r="I116" s="51"/>
      <c r="J116" s="51"/>
      <c r="K116" s="51"/>
      <c r="L116" s="51"/>
      <c r="M116" s="51"/>
      <c r="N116" s="51"/>
      <c r="O116" s="51"/>
      <c r="P116" s="51"/>
      <c r="Q116" s="51"/>
      <c r="R116" s="51"/>
      <c r="S116" s="51"/>
      <c r="T116" s="51"/>
      <c r="U116" s="51"/>
    </row>
    <row r="117" spans="1:21" x14ac:dyDescent="0.35">
      <c r="A117" s="47"/>
      <c r="B117" s="47"/>
      <c r="C117" s="47"/>
      <c r="D117" s="47"/>
      <c r="E117" s="47"/>
      <c r="F117" s="47"/>
      <c r="G117" s="47"/>
      <c r="H117" s="47"/>
      <c r="I117" s="51"/>
      <c r="J117" s="51"/>
      <c r="K117" s="51"/>
      <c r="L117" s="51"/>
      <c r="M117" s="51"/>
      <c r="N117" s="51"/>
      <c r="O117" s="51"/>
      <c r="P117" s="51"/>
      <c r="Q117" s="51"/>
      <c r="R117" s="51"/>
      <c r="S117" s="51"/>
      <c r="T117" s="51"/>
      <c r="U117" s="51"/>
    </row>
    <row r="118" spans="1:21" x14ac:dyDescent="0.35">
      <c r="A118" s="47"/>
      <c r="B118" s="47"/>
      <c r="C118" s="47"/>
      <c r="D118" s="47"/>
      <c r="E118" s="47"/>
      <c r="F118" s="47"/>
      <c r="G118" s="47"/>
      <c r="H118" s="47"/>
      <c r="I118" s="51"/>
      <c r="J118" s="51"/>
      <c r="K118" s="51"/>
      <c r="L118" s="51"/>
      <c r="M118" s="51"/>
      <c r="N118" s="51"/>
      <c r="O118" s="51"/>
      <c r="P118" s="51"/>
      <c r="Q118" s="51"/>
      <c r="R118" s="51"/>
      <c r="S118" s="51"/>
      <c r="T118" s="51"/>
      <c r="U118" s="51"/>
    </row>
    <row r="119" spans="1:21" x14ac:dyDescent="0.35">
      <c r="A119" s="47"/>
      <c r="B119" s="47"/>
      <c r="C119" s="47"/>
      <c r="D119" s="47"/>
      <c r="E119" s="47"/>
      <c r="F119" s="47"/>
      <c r="G119" s="47"/>
      <c r="H119" s="47"/>
      <c r="I119" s="51"/>
      <c r="J119" s="51"/>
      <c r="K119" s="51"/>
      <c r="L119" s="51"/>
      <c r="M119" s="51"/>
      <c r="N119" s="51"/>
      <c r="O119" s="51"/>
      <c r="P119" s="51"/>
      <c r="Q119" s="51"/>
      <c r="R119" s="51"/>
      <c r="S119" s="51"/>
      <c r="T119" s="51"/>
      <c r="U119" s="51"/>
    </row>
    <row r="120" spans="1:21" x14ac:dyDescent="0.35">
      <c r="A120" s="47"/>
      <c r="B120" s="47"/>
      <c r="C120" s="47"/>
      <c r="D120" s="47"/>
      <c r="E120" s="47"/>
      <c r="F120" s="47"/>
      <c r="G120" s="47"/>
      <c r="H120" s="47"/>
      <c r="I120" s="51"/>
      <c r="J120" s="51"/>
      <c r="K120" s="51"/>
      <c r="L120" s="51"/>
      <c r="M120" s="51"/>
      <c r="N120" s="51"/>
      <c r="O120" s="51"/>
      <c r="P120" s="51"/>
      <c r="Q120" s="51"/>
      <c r="R120" s="51"/>
      <c r="S120" s="51"/>
      <c r="T120" s="51"/>
      <c r="U120" s="51"/>
    </row>
    <row r="121" spans="1:21" x14ac:dyDescent="0.35">
      <c r="A121" s="47"/>
      <c r="B121" s="47"/>
      <c r="C121" s="47"/>
      <c r="D121" s="47"/>
      <c r="E121" s="47"/>
      <c r="F121" s="47"/>
      <c r="G121" s="47"/>
      <c r="H121" s="47"/>
      <c r="I121" s="51"/>
      <c r="J121" s="51"/>
      <c r="K121" s="51"/>
      <c r="L121" s="51"/>
      <c r="M121" s="51"/>
      <c r="N121" s="51"/>
      <c r="O121" s="51"/>
      <c r="P121" s="51"/>
      <c r="Q121" s="51"/>
      <c r="R121" s="51"/>
      <c r="S121" s="51"/>
      <c r="T121" s="51"/>
      <c r="U121" s="51"/>
    </row>
    <row r="122" spans="1:21" x14ac:dyDescent="0.35">
      <c r="A122" s="47"/>
      <c r="B122" s="47"/>
      <c r="C122" s="47"/>
      <c r="D122" s="47"/>
      <c r="E122" s="47"/>
      <c r="F122" s="47"/>
      <c r="G122" s="47"/>
      <c r="H122" s="47"/>
      <c r="I122" s="51"/>
      <c r="J122" s="51"/>
      <c r="K122" s="51"/>
      <c r="L122" s="51"/>
      <c r="M122" s="51"/>
      <c r="N122" s="51"/>
      <c r="O122" s="51"/>
      <c r="P122" s="51"/>
      <c r="Q122" s="51"/>
      <c r="R122" s="51"/>
      <c r="S122" s="51"/>
      <c r="T122" s="51"/>
      <c r="U122" s="51"/>
    </row>
    <row r="123" spans="1:21" x14ac:dyDescent="0.35">
      <c r="A123" s="47"/>
      <c r="B123" s="47"/>
      <c r="C123" s="47"/>
      <c r="D123" s="47"/>
      <c r="E123" s="47"/>
      <c r="F123" s="47"/>
      <c r="G123" s="47"/>
      <c r="H123" s="47"/>
      <c r="I123" s="51"/>
      <c r="J123" s="51"/>
      <c r="K123" s="51"/>
      <c r="L123" s="51"/>
      <c r="M123" s="51"/>
      <c r="N123" s="51"/>
      <c r="O123" s="51"/>
      <c r="P123" s="51"/>
      <c r="Q123" s="51"/>
      <c r="R123" s="51"/>
      <c r="S123" s="51"/>
      <c r="T123" s="51"/>
      <c r="U123" s="51"/>
    </row>
    <row r="124" spans="1:21" x14ac:dyDescent="0.35">
      <c r="A124" s="47"/>
      <c r="B124" s="47"/>
      <c r="C124" s="47"/>
      <c r="D124" s="47"/>
      <c r="E124" s="47"/>
      <c r="F124" s="47"/>
      <c r="G124" s="47"/>
      <c r="H124" s="47"/>
      <c r="I124" s="51"/>
      <c r="J124" s="51"/>
      <c r="K124" s="51"/>
      <c r="L124" s="51"/>
      <c r="M124" s="51"/>
      <c r="N124" s="51"/>
      <c r="O124" s="51"/>
      <c r="P124" s="51"/>
      <c r="Q124" s="51"/>
      <c r="R124" s="51"/>
      <c r="S124" s="51"/>
      <c r="T124" s="51"/>
      <c r="U124" s="51"/>
    </row>
    <row r="125" spans="1:21" s="51" customFormat="1" x14ac:dyDescent="0.35"/>
    <row r="126" spans="1:21" s="51" customFormat="1" x14ac:dyDescent="0.35"/>
    <row r="127" spans="1:21" s="51" customFormat="1" x14ac:dyDescent="0.35"/>
    <row r="128" spans="1:21" s="51" customFormat="1" x14ac:dyDescent="0.35"/>
    <row r="129" s="51" customFormat="1" x14ac:dyDescent="0.35"/>
    <row r="130" s="51" customFormat="1" x14ac:dyDescent="0.35"/>
    <row r="131" s="51" customFormat="1" x14ac:dyDescent="0.35"/>
    <row r="132" s="51" customFormat="1" x14ac:dyDescent="0.35"/>
    <row r="133" s="51" customFormat="1" x14ac:dyDescent="0.35"/>
    <row r="134" s="51" customFormat="1" x14ac:dyDescent="0.35"/>
    <row r="135" s="51" customFormat="1" x14ac:dyDescent="0.35"/>
    <row r="136" s="51" customFormat="1" x14ac:dyDescent="0.35"/>
    <row r="137" s="51" customFormat="1" x14ac:dyDescent="0.35"/>
    <row r="138" s="51" customFormat="1" x14ac:dyDescent="0.35"/>
    <row r="139" s="51" customFormat="1" x14ac:dyDescent="0.35"/>
    <row r="140" s="51" customFormat="1" x14ac:dyDescent="0.35"/>
    <row r="141" s="51" customFormat="1" x14ac:dyDescent="0.35"/>
    <row r="142" s="51" customFormat="1" x14ac:dyDescent="0.35"/>
    <row r="143" s="51" customFormat="1" x14ac:dyDescent="0.35"/>
    <row r="144" s="51" customFormat="1" x14ac:dyDescent="0.35"/>
    <row r="145" s="51" customFormat="1" x14ac:dyDescent="0.35"/>
    <row r="146" s="51" customFormat="1" x14ac:dyDescent="0.35"/>
    <row r="147" s="51" customFormat="1" x14ac:dyDescent="0.35"/>
    <row r="148" s="51" customFormat="1" x14ac:dyDescent="0.35"/>
    <row r="149" s="51" customFormat="1" x14ac:dyDescent="0.35"/>
    <row r="150" s="51" customFormat="1" x14ac:dyDescent="0.35"/>
    <row r="151" s="51" customFormat="1" x14ac:dyDescent="0.35"/>
    <row r="152" s="51" customFormat="1" x14ac:dyDescent="0.35"/>
    <row r="153" s="51" customFormat="1" x14ac:dyDescent="0.35"/>
    <row r="154" s="51" customFormat="1" x14ac:dyDescent="0.35"/>
    <row r="155" s="51" customFormat="1" x14ac:dyDescent="0.35"/>
    <row r="156" s="51" customFormat="1" x14ac:dyDescent="0.35"/>
    <row r="157" s="51" customFormat="1" x14ac:dyDescent="0.35"/>
    <row r="158" s="51" customFormat="1" x14ac:dyDescent="0.35"/>
    <row r="159" s="51" customFormat="1" x14ac:dyDescent="0.35"/>
    <row r="160" s="51" customFormat="1" x14ac:dyDescent="0.35"/>
    <row r="161" s="51" customFormat="1" x14ac:dyDescent="0.35"/>
    <row r="162" s="51" customFormat="1" x14ac:dyDescent="0.35"/>
    <row r="163" s="51" customFormat="1" x14ac:dyDescent="0.35"/>
    <row r="164" s="51" customFormat="1" x14ac:dyDescent="0.35"/>
    <row r="165" s="51" customFormat="1" x14ac:dyDescent="0.35"/>
    <row r="166" s="51" customFormat="1" x14ac:dyDescent="0.35"/>
    <row r="167" s="51" customFormat="1" x14ac:dyDescent="0.35"/>
    <row r="168" s="51" customFormat="1" x14ac:dyDescent="0.35"/>
    <row r="169" s="51" customFormat="1" x14ac:dyDescent="0.35"/>
    <row r="170" s="51" customFormat="1" x14ac:dyDescent="0.35"/>
    <row r="171" s="51" customFormat="1" x14ac:dyDescent="0.35"/>
    <row r="172" s="51" customFormat="1" x14ac:dyDescent="0.35"/>
    <row r="173" s="51" customFormat="1" x14ac:dyDescent="0.35"/>
    <row r="174" s="51" customFormat="1" x14ac:dyDescent="0.35"/>
    <row r="175" s="51" customFormat="1" x14ac:dyDescent="0.35"/>
    <row r="176" s="51" customFormat="1" x14ac:dyDescent="0.35"/>
    <row r="177" s="51" customFormat="1" x14ac:dyDescent="0.35"/>
    <row r="178" s="51" customFormat="1" x14ac:dyDescent="0.35"/>
    <row r="179" s="51" customFormat="1" x14ac:dyDescent="0.35"/>
    <row r="180" s="51" customFormat="1" x14ac:dyDescent="0.35"/>
    <row r="181" s="51" customFormat="1" x14ac:dyDescent="0.35"/>
    <row r="182" s="51" customFormat="1" x14ac:dyDescent="0.35"/>
    <row r="183" s="51" customFormat="1" x14ac:dyDescent="0.35"/>
    <row r="184" s="51" customFormat="1" x14ac:dyDescent="0.35"/>
    <row r="185" s="51" customFormat="1" x14ac:dyDescent="0.35"/>
    <row r="186" s="51" customFormat="1" x14ac:dyDescent="0.35"/>
    <row r="187" s="51" customFormat="1" x14ac:dyDescent="0.35"/>
    <row r="188" s="51" customFormat="1" x14ac:dyDescent="0.35"/>
    <row r="189" s="51" customFormat="1" x14ac:dyDescent="0.35"/>
    <row r="190" s="51" customFormat="1" x14ac:dyDescent="0.35"/>
    <row r="191" s="51" customFormat="1" x14ac:dyDescent="0.35"/>
    <row r="192" s="51" customFormat="1" x14ac:dyDescent="0.35"/>
    <row r="193" s="51" customFormat="1" x14ac:dyDescent="0.35"/>
    <row r="194" s="51" customFormat="1" x14ac:dyDescent="0.35"/>
    <row r="195" s="51" customFormat="1" x14ac:dyDescent="0.35"/>
    <row r="196" s="51" customFormat="1" x14ac:dyDescent="0.35"/>
    <row r="197" s="51" customFormat="1" x14ac:dyDescent="0.35"/>
    <row r="198" s="51" customFormat="1" x14ac:dyDescent="0.35"/>
    <row r="199" s="51" customFormat="1" x14ac:dyDescent="0.35"/>
    <row r="200" s="51" customFormat="1" x14ac:dyDescent="0.35"/>
    <row r="201" s="51" customFormat="1" x14ac:dyDescent="0.35"/>
    <row r="202" s="51" customFormat="1" x14ac:dyDescent="0.35"/>
    <row r="203" s="51" customFormat="1" x14ac:dyDescent="0.35"/>
    <row r="204" s="51" customFormat="1" x14ac:dyDescent="0.35"/>
    <row r="205" s="51" customFormat="1" x14ac:dyDescent="0.35"/>
    <row r="206" s="51" customFormat="1" x14ac:dyDescent="0.35"/>
    <row r="207" s="51" customFormat="1" x14ac:dyDescent="0.35"/>
    <row r="208" s="51" customFormat="1" x14ac:dyDescent="0.35"/>
    <row r="209" s="51" customFormat="1" x14ac:dyDescent="0.35"/>
    <row r="210" s="51" customFormat="1" x14ac:dyDescent="0.35"/>
    <row r="211" s="51" customFormat="1" x14ac:dyDescent="0.35"/>
    <row r="212" s="51" customFormat="1" x14ac:dyDescent="0.35"/>
    <row r="213" s="51" customFormat="1" x14ac:dyDescent="0.35"/>
    <row r="214" s="51" customFormat="1" x14ac:dyDescent="0.35"/>
    <row r="215" s="51" customFormat="1" x14ac:dyDescent="0.35"/>
    <row r="216" s="51" customFormat="1" x14ac:dyDescent="0.35"/>
    <row r="217" s="51" customFormat="1" x14ac:dyDescent="0.35"/>
    <row r="218" s="51" customFormat="1" x14ac:dyDescent="0.35"/>
    <row r="219" s="51" customFormat="1" x14ac:dyDescent="0.35"/>
    <row r="220" s="51" customFormat="1" x14ac:dyDescent="0.35"/>
    <row r="221" s="51" customFormat="1" x14ac:dyDescent="0.35"/>
    <row r="222" s="51" customFormat="1" x14ac:dyDescent="0.35"/>
    <row r="223" s="51" customFormat="1" x14ac:dyDescent="0.35"/>
    <row r="224" s="51" customFormat="1" x14ac:dyDescent="0.35"/>
    <row r="225" s="51" customFormat="1" x14ac:dyDescent="0.35"/>
    <row r="226" s="51" customFormat="1" x14ac:dyDescent="0.35"/>
    <row r="227" s="51" customFormat="1" x14ac:dyDescent="0.35"/>
    <row r="228" s="51" customFormat="1" x14ac:dyDescent="0.35"/>
    <row r="229" s="51" customFormat="1" x14ac:dyDescent="0.35"/>
    <row r="230" s="51" customFormat="1" x14ac:dyDescent="0.35"/>
    <row r="231" s="51" customFormat="1" x14ac:dyDescent="0.35"/>
    <row r="232" s="51" customFormat="1" x14ac:dyDescent="0.35"/>
    <row r="233" s="51" customFormat="1" x14ac:dyDescent="0.35"/>
    <row r="234" s="51" customFormat="1" x14ac:dyDescent="0.35"/>
    <row r="235" s="51" customFormat="1" x14ac:dyDescent="0.35"/>
    <row r="236" s="51" customFormat="1" x14ac:dyDescent="0.35"/>
    <row r="237" s="51" customFormat="1" x14ac:dyDescent="0.35"/>
    <row r="238" s="51" customFormat="1" x14ac:dyDescent="0.35"/>
    <row r="239" s="51" customFormat="1" x14ac:dyDescent="0.35"/>
    <row r="240" s="51" customFormat="1" x14ac:dyDescent="0.35"/>
    <row r="241" s="51" customFormat="1" x14ac:dyDescent="0.35"/>
    <row r="242" s="51" customFormat="1" x14ac:dyDescent="0.35"/>
    <row r="243" s="51" customFormat="1" x14ac:dyDescent="0.35"/>
    <row r="244" s="51" customFormat="1" x14ac:dyDescent="0.35"/>
    <row r="245" s="51" customFormat="1" x14ac:dyDescent="0.35"/>
    <row r="246" s="51" customFormat="1" x14ac:dyDescent="0.35"/>
    <row r="247" s="51" customFormat="1" x14ac:dyDescent="0.35"/>
    <row r="248" s="51" customFormat="1" x14ac:dyDescent="0.35"/>
    <row r="249" s="51" customFormat="1" x14ac:dyDescent="0.35"/>
    <row r="250" s="51" customFormat="1" x14ac:dyDescent="0.35"/>
    <row r="251" s="51" customFormat="1" x14ac:dyDescent="0.35"/>
    <row r="252" s="51" customFormat="1" x14ac:dyDescent="0.35"/>
    <row r="253" s="51" customFormat="1" x14ac:dyDescent="0.35"/>
    <row r="254" s="51" customFormat="1" x14ac:dyDescent="0.35"/>
    <row r="255" s="51" customFormat="1" x14ac:dyDescent="0.35"/>
    <row r="256" s="51" customFormat="1" x14ac:dyDescent="0.35"/>
    <row r="257" s="51" customFormat="1" x14ac:dyDescent="0.35"/>
    <row r="258" s="51" customFormat="1" x14ac:dyDescent="0.35"/>
    <row r="259" s="51" customFormat="1" x14ac:dyDescent="0.35"/>
    <row r="260" s="51" customFormat="1" x14ac:dyDescent="0.35"/>
    <row r="261" s="51" customFormat="1" x14ac:dyDescent="0.35"/>
    <row r="262" s="51" customFormat="1" x14ac:dyDescent="0.35"/>
    <row r="263" s="51" customFormat="1" x14ac:dyDescent="0.35"/>
    <row r="264" s="51" customFormat="1" x14ac:dyDescent="0.35"/>
    <row r="265" s="51" customFormat="1" x14ac:dyDescent="0.35"/>
    <row r="266" s="51" customFormat="1" x14ac:dyDescent="0.35"/>
    <row r="267" s="51" customFormat="1" x14ac:dyDescent="0.35"/>
    <row r="268" s="51" customFormat="1" x14ac:dyDescent="0.35"/>
    <row r="269" s="51" customFormat="1" x14ac:dyDescent="0.35"/>
    <row r="270" s="51" customFormat="1" x14ac:dyDescent="0.35"/>
    <row r="271" s="51" customFormat="1" x14ac:dyDescent="0.35"/>
    <row r="272" s="51" customFormat="1" x14ac:dyDescent="0.35"/>
    <row r="273" s="51" customFormat="1" x14ac:dyDescent="0.35"/>
    <row r="274" s="51" customFormat="1" x14ac:dyDescent="0.35"/>
    <row r="275" s="51" customFormat="1" x14ac:dyDescent="0.35"/>
    <row r="276" s="51" customFormat="1" x14ac:dyDescent="0.35"/>
    <row r="277" s="51" customFormat="1" x14ac:dyDescent="0.35"/>
    <row r="278" s="51" customFormat="1" x14ac:dyDescent="0.35"/>
    <row r="279" s="51" customFormat="1" x14ac:dyDescent="0.35"/>
    <row r="280" s="51" customFormat="1" x14ac:dyDescent="0.35"/>
    <row r="281" s="51" customFormat="1" x14ac:dyDescent="0.35"/>
    <row r="282" s="51" customFormat="1" x14ac:dyDescent="0.35"/>
    <row r="283" s="51" customFormat="1" x14ac:dyDescent="0.35"/>
    <row r="284" s="51" customFormat="1" x14ac:dyDescent="0.35"/>
    <row r="285" s="51" customFormat="1" x14ac:dyDescent="0.35"/>
    <row r="286" s="51" customFormat="1" x14ac:dyDescent="0.35"/>
    <row r="287" s="51" customFormat="1" x14ac:dyDescent="0.35"/>
    <row r="288" s="51" customFormat="1" x14ac:dyDescent="0.35"/>
    <row r="289" spans="9:12" s="51" customFormat="1" x14ac:dyDescent="0.35"/>
    <row r="290" spans="9:12" s="51" customFormat="1" x14ac:dyDescent="0.35"/>
    <row r="291" spans="9:12" s="51" customFormat="1" x14ac:dyDescent="0.35"/>
    <row r="292" spans="9:12" s="51" customFormat="1" x14ac:dyDescent="0.35"/>
    <row r="293" spans="9:12" s="51" customFormat="1" x14ac:dyDescent="0.35"/>
    <row r="294" spans="9:12" s="51" customFormat="1" x14ac:dyDescent="0.35"/>
    <row r="295" spans="9:12" s="51" customFormat="1" x14ac:dyDescent="0.35"/>
    <row r="296" spans="9:12" s="51" customFormat="1" x14ac:dyDescent="0.35"/>
    <row r="297" spans="9:12" s="51" customFormat="1" x14ac:dyDescent="0.35"/>
    <row r="298" spans="9:12" s="51" customFormat="1" x14ac:dyDescent="0.35"/>
    <row r="299" spans="9:12" s="51" customFormat="1" x14ac:dyDescent="0.35"/>
    <row r="300" spans="9:12" s="51" customFormat="1" x14ac:dyDescent="0.35"/>
    <row r="301" spans="9:12" x14ac:dyDescent="0.35">
      <c r="I301" s="51"/>
      <c r="L301" s="51"/>
    </row>
    <row r="302" spans="9:12" x14ac:dyDescent="0.35">
      <c r="I302" s="51"/>
      <c r="L302" s="51"/>
    </row>
    <row r="303" spans="9:12" x14ac:dyDescent="0.35">
      <c r="I303" s="51"/>
      <c r="L303" s="51"/>
    </row>
    <row r="304" spans="9:12" x14ac:dyDescent="0.35">
      <c r="I304" s="51"/>
      <c r="L304" s="51"/>
    </row>
    <row r="305" spans="9:12" x14ac:dyDescent="0.35">
      <c r="I305" s="51"/>
      <c r="L305" s="51"/>
    </row>
    <row r="306" spans="9:12" x14ac:dyDescent="0.35">
      <c r="I306" s="51"/>
      <c r="L306" s="51"/>
    </row>
    <row r="307" spans="9:12" x14ac:dyDescent="0.35">
      <c r="I307" s="51"/>
      <c r="L307" s="51"/>
    </row>
    <row r="308" spans="9:12" x14ac:dyDescent="0.35">
      <c r="I308" s="51"/>
      <c r="L308" s="51"/>
    </row>
    <row r="309" spans="9:12" x14ac:dyDescent="0.35">
      <c r="I309" s="51"/>
      <c r="L309" s="51"/>
    </row>
    <row r="310" spans="9:12" x14ac:dyDescent="0.35">
      <c r="I310" s="51"/>
      <c r="L310" s="51"/>
    </row>
    <row r="311" spans="9:12" x14ac:dyDescent="0.35">
      <c r="I311" s="51"/>
      <c r="L311" s="51"/>
    </row>
    <row r="312" spans="9:12" x14ac:dyDescent="0.35">
      <c r="I312" s="51"/>
      <c r="L312" s="51"/>
    </row>
    <row r="313" spans="9:12" x14ac:dyDescent="0.35">
      <c r="I313" s="51"/>
      <c r="L313" s="51"/>
    </row>
    <row r="314" spans="9:12" x14ac:dyDescent="0.35">
      <c r="I314" s="51"/>
      <c r="L314" s="51"/>
    </row>
    <row r="315" spans="9:12" x14ac:dyDescent="0.35">
      <c r="I315" s="51"/>
      <c r="L315" s="51"/>
    </row>
    <row r="316" spans="9:12" x14ac:dyDescent="0.35">
      <c r="I316" s="51"/>
      <c r="L316" s="51"/>
    </row>
    <row r="317" spans="9:12" x14ac:dyDescent="0.35">
      <c r="I317" s="51"/>
      <c r="L317" s="51"/>
    </row>
    <row r="318" spans="9:12" x14ac:dyDescent="0.35">
      <c r="I318" s="51"/>
      <c r="L318" s="51"/>
    </row>
    <row r="319" spans="9:12" x14ac:dyDescent="0.35">
      <c r="I319" s="51"/>
      <c r="L319" s="51"/>
    </row>
    <row r="320" spans="9:12" x14ac:dyDescent="0.35">
      <c r="I320" s="51"/>
      <c r="L320" s="51"/>
    </row>
    <row r="321" spans="9:12" x14ac:dyDescent="0.35">
      <c r="I321" s="51"/>
      <c r="L321" s="51"/>
    </row>
    <row r="322" spans="9:12" x14ac:dyDescent="0.35">
      <c r="I322" s="51"/>
      <c r="L322" s="51"/>
    </row>
    <row r="323" spans="9:12" x14ac:dyDescent="0.35">
      <c r="I323" s="51"/>
      <c r="L323" s="51"/>
    </row>
    <row r="324" spans="9:12" x14ac:dyDescent="0.35">
      <c r="I324" s="51"/>
      <c r="L324" s="51"/>
    </row>
    <row r="325" spans="9:12" x14ac:dyDescent="0.35">
      <c r="I325" s="51"/>
      <c r="L325" s="51"/>
    </row>
    <row r="326" spans="9:12" x14ac:dyDescent="0.35">
      <c r="I326" s="51"/>
      <c r="L326" s="51"/>
    </row>
    <row r="327" spans="9:12" x14ac:dyDescent="0.35">
      <c r="I327" s="51"/>
      <c r="L327" s="51"/>
    </row>
    <row r="328" spans="9:12" x14ac:dyDescent="0.35">
      <c r="I328" s="51"/>
      <c r="L328" s="51"/>
    </row>
    <row r="329" spans="9:12" x14ac:dyDescent="0.35">
      <c r="I329" s="51"/>
      <c r="L329" s="51"/>
    </row>
    <row r="330" spans="9:12" x14ac:dyDescent="0.35">
      <c r="I330" s="51"/>
      <c r="L330" s="51"/>
    </row>
    <row r="331" spans="9:12" x14ac:dyDescent="0.35">
      <c r="I331" s="51"/>
      <c r="L331" s="51"/>
    </row>
    <row r="332" spans="9:12" x14ac:dyDescent="0.35">
      <c r="I332" s="51"/>
      <c r="L332" s="51"/>
    </row>
    <row r="333" spans="9:12" x14ac:dyDescent="0.35">
      <c r="I333" s="51"/>
      <c r="L333" s="51"/>
    </row>
    <row r="334" spans="9:12" x14ac:dyDescent="0.35">
      <c r="I334" s="51"/>
      <c r="L334" s="51"/>
    </row>
    <row r="335" spans="9:12" x14ac:dyDescent="0.35">
      <c r="I335" s="51"/>
      <c r="L335" s="51"/>
    </row>
    <row r="336" spans="9:12" x14ac:dyDescent="0.35">
      <c r="I336" s="51"/>
      <c r="L336" s="51"/>
    </row>
    <row r="337" spans="9:12" x14ac:dyDescent="0.35">
      <c r="I337" s="51"/>
      <c r="L337" s="51"/>
    </row>
    <row r="338" spans="9:12" x14ac:dyDescent="0.35">
      <c r="I338" s="51"/>
      <c r="L338" s="51"/>
    </row>
    <row r="339" spans="9:12" x14ac:dyDescent="0.35">
      <c r="I339" s="51"/>
      <c r="L339" s="51"/>
    </row>
    <row r="340" spans="9:12" x14ac:dyDescent="0.35">
      <c r="I340" s="51"/>
      <c r="L340" s="51"/>
    </row>
    <row r="341" spans="9:12" x14ac:dyDescent="0.35">
      <c r="I341" s="51"/>
      <c r="L341" s="51"/>
    </row>
    <row r="342" spans="9:12" x14ac:dyDescent="0.35">
      <c r="I342" s="51"/>
      <c r="L342" s="51"/>
    </row>
    <row r="343" spans="9:12" x14ac:dyDescent="0.35">
      <c r="I343" s="51"/>
      <c r="L343" s="51"/>
    </row>
    <row r="344" spans="9:12" x14ac:dyDescent="0.35">
      <c r="I344" s="51"/>
      <c r="L344" s="51"/>
    </row>
    <row r="345" spans="9:12" x14ac:dyDescent="0.35">
      <c r="I345" s="51"/>
      <c r="L345" s="51"/>
    </row>
    <row r="346" spans="9:12" x14ac:dyDescent="0.35">
      <c r="I346" s="51"/>
      <c r="L346" s="51"/>
    </row>
    <row r="347" spans="9:12" x14ac:dyDescent="0.35">
      <c r="I347" s="51"/>
      <c r="L347" s="51"/>
    </row>
    <row r="348" spans="9:12" x14ac:dyDescent="0.35">
      <c r="I348" s="51"/>
      <c r="L348" s="51"/>
    </row>
    <row r="349" spans="9:12" x14ac:dyDescent="0.35">
      <c r="I349" s="51"/>
      <c r="L349" s="51"/>
    </row>
    <row r="350" spans="9:12" x14ac:dyDescent="0.35">
      <c r="I350" s="51"/>
      <c r="L350" s="51"/>
    </row>
    <row r="351" spans="9:12" x14ac:dyDescent="0.35">
      <c r="I351" s="51"/>
      <c r="L351" s="51"/>
    </row>
    <row r="352" spans="9:12" x14ac:dyDescent="0.35">
      <c r="I352" s="51"/>
      <c r="L352" s="51"/>
    </row>
    <row r="353" spans="9:12" x14ac:dyDescent="0.35">
      <c r="I353" s="51"/>
      <c r="L353" s="51"/>
    </row>
    <row r="354" spans="9:12" x14ac:dyDescent="0.35">
      <c r="I354" s="51"/>
      <c r="L354" s="51"/>
    </row>
    <row r="355" spans="9:12" x14ac:dyDescent="0.35">
      <c r="I355" s="51"/>
      <c r="L355" s="51"/>
    </row>
    <row r="356" spans="9:12" x14ac:dyDescent="0.35">
      <c r="I356" s="51"/>
      <c r="L356" s="51"/>
    </row>
    <row r="357" spans="9:12" x14ac:dyDescent="0.35">
      <c r="I357" s="51"/>
      <c r="L357" s="51"/>
    </row>
    <row r="358" spans="9:12" x14ac:dyDescent="0.35">
      <c r="I358" s="51"/>
      <c r="L358" s="51"/>
    </row>
    <row r="359" spans="9:12" x14ac:dyDescent="0.35">
      <c r="I359" s="51"/>
      <c r="L359" s="51"/>
    </row>
    <row r="360" spans="9:12" x14ac:dyDescent="0.35">
      <c r="I360" s="51"/>
      <c r="L360" s="51"/>
    </row>
    <row r="361" spans="9:12" x14ac:dyDescent="0.35">
      <c r="I361" s="51"/>
      <c r="L361" s="51"/>
    </row>
    <row r="362" spans="9:12" x14ac:dyDescent="0.35">
      <c r="I362" s="51"/>
      <c r="L362" s="51"/>
    </row>
    <row r="363" spans="9:12" x14ac:dyDescent="0.35">
      <c r="I363" s="51"/>
      <c r="L363" s="51"/>
    </row>
    <row r="364" spans="9:12" x14ac:dyDescent="0.35">
      <c r="I364" s="51"/>
      <c r="L364" s="51"/>
    </row>
    <row r="365" spans="9:12" x14ac:dyDescent="0.35">
      <c r="I365" s="51"/>
      <c r="L365" s="51"/>
    </row>
    <row r="366" spans="9:12" x14ac:dyDescent="0.35">
      <c r="I366" s="51"/>
      <c r="L366" s="51"/>
    </row>
    <row r="367" spans="9:12" x14ac:dyDescent="0.35">
      <c r="I367" s="51"/>
      <c r="L367" s="51"/>
    </row>
    <row r="368" spans="9:12" x14ac:dyDescent="0.35">
      <c r="I368" s="51"/>
      <c r="L368" s="51"/>
    </row>
    <row r="369" spans="9:12" x14ac:dyDescent="0.35">
      <c r="I369" s="51"/>
      <c r="L369" s="51"/>
    </row>
    <row r="370" spans="9:12" x14ac:dyDescent="0.35">
      <c r="I370" s="51"/>
      <c r="L370" s="51"/>
    </row>
    <row r="371" spans="9:12" x14ac:dyDescent="0.35">
      <c r="I371" s="51"/>
      <c r="L371" s="51"/>
    </row>
    <row r="372" spans="9:12" x14ac:dyDescent="0.35">
      <c r="I372" s="51"/>
      <c r="L372" s="51"/>
    </row>
    <row r="373" spans="9:12" x14ac:dyDescent="0.35">
      <c r="I373" s="51"/>
      <c r="L373" s="51"/>
    </row>
    <row r="374" spans="9:12" x14ac:dyDescent="0.35">
      <c r="I374" s="51"/>
      <c r="L374" s="51"/>
    </row>
    <row r="375" spans="9:12" x14ac:dyDescent="0.35">
      <c r="I375" s="51"/>
      <c r="L375" s="51"/>
    </row>
    <row r="376" spans="9:12" x14ac:dyDescent="0.35">
      <c r="I376" s="51"/>
      <c r="L376" s="51"/>
    </row>
    <row r="377" spans="9:12" x14ac:dyDescent="0.35">
      <c r="I377" s="51"/>
      <c r="L377" s="51"/>
    </row>
    <row r="378" spans="9:12" x14ac:dyDescent="0.35">
      <c r="I378" s="51"/>
      <c r="L378" s="51"/>
    </row>
    <row r="379" spans="9:12" x14ac:dyDescent="0.35">
      <c r="I379" s="51"/>
      <c r="L379" s="51"/>
    </row>
    <row r="380" spans="9:12" x14ac:dyDescent="0.35">
      <c r="I380" s="51"/>
      <c r="L380" s="51"/>
    </row>
    <row r="381" spans="9:12" x14ac:dyDescent="0.35">
      <c r="I381" s="51"/>
      <c r="L381" s="51"/>
    </row>
    <row r="382" spans="9:12" x14ac:dyDescent="0.35">
      <c r="I382" s="51"/>
      <c r="L382" s="51"/>
    </row>
    <row r="383" spans="9:12" x14ac:dyDescent="0.35">
      <c r="I383" s="51"/>
      <c r="L383" s="51"/>
    </row>
    <row r="384" spans="9:12" x14ac:dyDescent="0.35">
      <c r="I384" s="51"/>
      <c r="L384" s="51"/>
    </row>
    <row r="385" spans="9:12" x14ac:dyDescent="0.35">
      <c r="I385" s="51"/>
      <c r="L385" s="51"/>
    </row>
    <row r="386" spans="9:12" x14ac:dyDescent="0.35">
      <c r="I386" s="51"/>
      <c r="L386" s="51"/>
    </row>
    <row r="387" spans="9:12" x14ac:dyDescent="0.35">
      <c r="I387" s="51"/>
      <c r="L387" s="51"/>
    </row>
    <row r="388" spans="9:12" x14ac:dyDescent="0.35">
      <c r="I388" s="51"/>
      <c r="L388" s="51"/>
    </row>
    <row r="389" spans="9:12" x14ac:dyDescent="0.35">
      <c r="I389" s="51"/>
      <c r="L389" s="51"/>
    </row>
    <row r="390" spans="9:12" x14ac:dyDescent="0.35">
      <c r="I390" s="51"/>
      <c r="L390" s="51"/>
    </row>
    <row r="391" spans="9:12" x14ac:dyDescent="0.35">
      <c r="I391" s="51"/>
      <c r="L391" s="51"/>
    </row>
    <row r="392" spans="9:12" x14ac:dyDescent="0.35">
      <c r="I392" s="51"/>
      <c r="L392" s="51"/>
    </row>
    <row r="393" spans="9:12" x14ac:dyDescent="0.35">
      <c r="I393" s="51"/>
      <c r="L393" s="51"/>
    </row>
    <row r="394" spans="9:12" x14ac:dyDescent="0.35">
      <c r="I394" s="51"/>
      <c r="L394" s="51"/>
    </row>
    <row r="395" spans="9:12" x14ac:dyDescent="0.35">
      <c r="I395" s="51"/>
      <c r="L395" s="51"/>
    </row>
    <row r="396" spans="9:12" x14ac:dyDescent="0.35">
      <c r="I396" s="51"/>
      <c r="L396" s="51"/>
    </row>
    <row r="397" spans="9:12" x14ac:dyDescent="0.35">
      <c r="I397" s="51"/>
      <c r="L397" s="51"/>
    </row>
    <row r="398" spans="9:12" x14ac:dyDescent="0.35">
      <c r="I398" s="51"/>
      <c r="L398" s="51"/>
    </row>
    <row r="399" spans="9:12" x14ac:dyDescent="0.35">
      <c r="I399" s="51"/>
      <c r="L399" s="51"/>
    </row>
    <row r="400" spans="9:12" x14ac:dyDescent="0.35">
      <c r="I400" s="51"/>
      <c r="L400" s="51"/>
    </row>
    <row r="401" spans="9:12" x14ac:dyDescent="0.35">
      <c r="I401" s="51"/>
      <c r="L401" s="51"/>
    </row>
    <row r="402" spans="9:12" x14ac:dyDescent="0.35">
      <c r="I402" s="51"/>
      <c r="L402" s="51"/>
    </row>
    <row r="403" spans="9:12" x14ac:dyDescent="0.35">
      <c r="I403" s="51"/>
      <c r="L403" s="51"/>
    </row>
    <row r="404" spans="9:12" x14ac:dyDescent="0.35">
      <c r="I404" s="51"/>
      <c r="L404" s="51"/>
    </row>
    <row r="405" spans="9:12" x14ac:dyDescent="0.35">
      <c r="I405" s="51"/>
      <c r="L405" s="51"/>
    </row>
    <row r="406" spans="9:12" x14ac:dyDescent="0.35">
      <c r="I406" s="51"/>
      <c r="L406" s="51"/>
    </row>
    <row r="407" spans="9:12" x14ac:dyDescent="0.35">
      <c r="I407" s="51"/>
      <c r="L407" s="51"/>
    </row>
    <row r="408" spans="9:12" x14ac:dyDescent="0.35">
      <c r="I408" s="51"/>
      <c r="L408" s="51"/>
    </row>
    <row r="409" spans="9:12" x14ac:dyDescent="0.35">
      <c r="I409" s="51"/>
      <c r="L409" s="51"/>
    </row>
    <row r="410" spans="9:12" x14ac:dyDescent="0.35">
      <c r="I410" s="51"/>
      <c r="L410" s="51"/>
    </row>
    <row r="411" spans="9:12" x14ac:dyDescent="0.35">
      <c r="I411" s="51"/>
      <c r="L411" s="51"/>
    </row>
    <row r="412" spans="9:12" x14ac:dyDescent="0.35">
      <c r="I412" s="51"/>
      <c r="L412" s="51"/>
    </row>
    <row r="413" spans="9:12" x14ac:dyDescent="0.35">
      <c r="I413" s="51"/>
      <c r="L413" s="51"/>
    </row>
    <row r="414" spans="9:12" x14ac:dyDescent="0.35">
      <c r="I414" s="51"/>
      <c r="L414" s="51"/>
    </row>
    <row r="415" spans="9:12" x14ac:dyDescent="0.35">
      <c r="I415" s="51"/>
      <c r="L415" s="51"/>
    </row>
    <row r="416" spans="9:12" x14ac:dyDescent="0.35">
      <c r="I416" s="51"/>
      <c r="L416" s="51"/>
    </row>
    <row r="417" spans="9:12" x14ac:dyDescent="0.35">
      <c r="I417" s="51"/>
      <c r="L417" s="51"/>
    </row>
    <row r="418" spans="9:12" x14ac:dyDescent="0.35">
      <c r="I418" s="51"/>
      <c r="L418" s="51"/>
    </row>
    <row r="419" spans="9:12" x14ac:dyDescent="0.35">
      <c r="I419" s="51"/>
      <c r="L419" s="51"/>
    </row>
    <row r="420" spans="9:12" x14ac:dyDescent="0.35">
      <c r="I420" s="51"/>
      <c r="L420" s="51"/>
    </row>
    <row r="421" spans="9:12" x14ac:dyDescent="0.35">
      <c r="I421" s="51"/>
      <c r="L421" s="51"/>
    </row>
    <row r="422" spans="9:12" x14ac:dyDescent="0.35">
      <c r="I422" s="51"/>
      <c r="L422" s="51"/>
    </row>
    <row r="423" spans="9:12" x14ac:dyDescent="0.35">
      <c r="I423" s="51"/>
      <c r="L423" s="51"/>
    </row>
    <row r="424" spans="9:12" x14ac:dyDescent="0.35">
      <c r="I424" s="51"/>
      <c r="L424" s="51"/>
    </row>
    <row r="425" spans="9:12" x14ac:dyDescent="0.35">
      <c r="I425" s="51"/>
      <c r="L425" s="51"/>
    </row>
    <row r="426" spans="9:12" x14ac:dyDescent="0.35">
      <c r="I426" s="51"/>
      <c r="L426" s="51"/>
    </row>
    <row r="427" spans="9:12" x14ac:dyDescent="0.35">
      <c r="I427" s="51"/>
      <c r="L427" s="51"/>
    </row>
    <row r="428" spans="9:12" x14ac:dyDescent="0.35">
      <c r="I428" s="51"/>
      <c r="L428" s="51"/>
    </row>
    <row r="429" spans="9:12" x14ac:dyDescent="0.35">
      <c r="I429" s="51"/>
      <c r="L429" s="51"/>
    </row>
    <row r="430" spans="9:12" x14ac:dyDescent="0.35">
      <c r="I430" s="51"/>
      <c r="L430" s="51"/>
    </row>
    <row r="431" spans="9:12" x14ac:dyDescent="0.35">
      <c r="I431" s="51"/>
      <c r="L431" s="51"/>
    </row>
    <row r="432" spans="9:12" x14ac:dyDescent="0.35">
      <c r="I432" s="51"/>
      <c r="L432" s="51"/>
    </row>
    <row r="433" spans="9:12" x14ac:dyDescent="0.35">
      <c r="I433" s="51"/>
      <c r="L433" s="51"/>
    </row>
    <row r="434" spans="9:12" x14ac:dyDescent="0.35">
      <c r="I434" s="51"/>
      <c r="L434" s="51"/>
    </row>
    <row r="435" spans="9:12" x14ac:dyDescent="0.35">
      <c r="I435" s="51"/>
      <c r="L435" s="51"/>
    </row>
    <row r="436" spans="9:12" x14ac:dyDescent="0.35">
      <c r="I436" s="51"/>
      <c r="L436" s="51"/>
    </row>
    <row r="437" spans="9:12" x14ac:dyDescent="0.35">
      <c r="I437" s="51"/>
      <c r="L437" s="51"/>
    </row>
    <row r="438" spans="9:12" x14ac:dyDescent="0.35">
      <c r="I438" s="51"/>
      <c r="L438" s="51"/>
    </row>
    <row r="439" spans="9:12" x14ac:dyDescent="0.35">
      <c r="I439" s="51"/>
      <c r="L439" s="51"/>
    </row>
    <row r="440" spans="9:12" x14ac:dyDescent="0.35">
      <c r="I440" s="51"/>
      <c r="L440" s="51"/>
    </row>
    <row r="441" spans="9:12" x14ac:dyDescent="0.35">
      <c r="I441" s="51"/>
      <c r="L441" s="51"/>
    </row>
    <row r="442" spans="9:12" x14ac:dyDescent="0.35">
      <c r="I442" s="51"/>
      <c r="L442" s="51"/>
    </row>
    <row r="443" spans="9:12" x14ac:dyDescent="0.35">
      <c r="I443" s="51"/>
      <c r="L443" s="51"/>
    </row>
    <row r="444" spans="9:12" x14ac:dyDescent="0.35">
      <c r="I444" s="51"/>
      <c r="L444" s="51"/>
    </row>
    <row r="445" spans="9:12" x14ac:dyDescent="0.35">
      <c r="I445" s="51"/>
      <c r="L445" s="51"/>
    </row>
    <row r="446" spans="9:12" x14ac:dyDescent="0.35">
      <c r="I446" s="51"/>
      <c r="L446" s="51"/>
    </row>
    <row r="447" spans="9:12" x14ac:dyDescent="0.35">
      <c r="I447" s="51"/>
      <c r="L447" s="51"/>
    </row>
    <row r="448" spans="9:12" x14ac:dyDescent="0.35">
      <c r="I448" s="51"/>
      <c r="L448" s="51"/>
    </row>
    <row r="449" spans="9:12" x14ac:dyDescent="0.35">
      <c r="I449" s="51"/>
      <c r="L449" s="51"/>
    </row>
    <row r="450" spans="9:12" x14ac:dyDescent="0.35">
      <c r="I450" s="51"/>
      <c r="L450" s="51"/>
    </row>
    <row r="451" spans="9:12" x14ac:dyDescent="0.35">
      <c r="I451" s="51"/>
      <c r="L451" s="51"/>
    </row>
    <row r="452" spans="9:12" x14ac:dyDescent="0.35">
      <c r="I452" s="51"/>
      <c r="L452" s="51"/>
    </row>
    <row r="453" spans="9:12" x14ac:dyDescent="0.35">
      <c r="I453" s="51"/>
      <c r="L453" s="51"/>
    </row>
    <row r="454" spans="9:12" x14ac:dyDescent="0.35">
      <c r="I454" s="51"/>
      <c r="L454" s="51"/>
    </row>
    <row r="455" spans="9:12" x14ac:dyDescent="0.35">
      <c r="I455" s="51"/>
      <c r="L455" s="51"/>
    </row>
    <row r="456" spans="9:12" x14ac:dyDescent="0.35">
      <c r="I456" s="51"/>
      <c r="L456" s="51"/>
    </row>
    <row r="457" spans="9:12" x14ac:dyDescent="0.35">
      <c r="I457" s="51"/>
      <c r="L457" s="51"/>
    </row>
    <row r="458" spans="9:12" x14ac:dyDescent="0.35">
      <c r="I458" s="51"/>
      <c r="L458" s="51"/>
    </row>
    <row r="459" spans="9:12" x14ac:dyDescent="0.35">
      <c r="I459" s="51"/>
      <c r="L459" s="51"/>
    </row>
    <row r="460" spans="9:12" x14ac:dyDescent="0.35">
      <c r="I460" s="51"/>
      <c r="L460" s="51"/>
    </row>
    <row r="461" spans="9:12" x14ac:dyDescent="0.35">
      <c r="I461" s="51"/>
      <c r="L461" s="51"/>
    </row>
    <row r="462" spans="9:12" x14ac:dyDescent="0.35">
      <c r="I462" s="51"/>
      <c r="L462" s="51"/>
    </row>
    <row r="463" spans="9:12" x14ac:dyDescent="0.35">
      <c r="I463" s="51"/>
      <c r="L463" s="51"/>
    </row>
    <row r="464" spans="9:12" x14ac:dyDescent="0.35">
      <c r="I464" s="51"/>
      <c r="L464" s="51"/>
    </row>
    <row r="465" spans="9:9" x14ac:dyDescent="0.35">
      <c r="I465" s="51"/>
    </row>
    <row r="466" spans="9:9" x14ac:dyDescent="0.35">
      <c r="I466" s="51"/>
    </row>
  </sheetData>
  <sheetProtection algorithmName="SHA-512" hashValue="wDiWFy20uRemWUIquLF8JLEEMX/oYZplnT13Q/YYtOXWF/yAy/dGXGhtcwMT/m9Q4RljG4Tc2ps62RUm0ZnVdA==" saltValue="t00L7cCrE05gX35n26RY6g==" spinCount="100000" sheet="1" objects="1" scenarios="1"/>
  <mergeCells count="75">
    <mergeCell ref="A1:U1"/>
    <mergeCell ref="N55:O55"/>
    <mergeCell ref="S55:T55"/>
    <mergeCell ref="N50:O50"/>
    <mergeCell ref="S50:T50"/>
    <mergeCell ref="R16:R17"/>
    <mergeCell ref="R26:R27"/>
    <mergeCell ref="R42:R43"/>
    <mergeCell ref="R35:R36"/>
    <mergeCell ref="M16:M17"/>
    <mergeCell ref="M26:M27"/>
    <mergeCell ref="M35:M36"/>
    <mergeCell ref="M42:M43"/>
    <mergeCell ref="S28:S29"/>
    <mergeCell ref="R28:R29"/>
    <mergeCell ref="P26:P27"/>
    <mergeCell ref="N61:O61"/>
    <mergeCell ref="S51:T51"/>
    <mergeCell ref="S52:T52"/>
    <mergeCell ref="S53:T53"/>
    <mergeCell ref="S54:T54"/>
    <mergeCell ref="S56:T56"/>
    <mergeCell ref="S57:T57"/>
    <mergeCell ref="N51:O51"/>
    <mergeCell ref="N52:O52"/>
    <mergeCell ref="N53:O53"/>
    <mergeCell ref="N54:O54"/>
    <mergeCell ref="N56:O56"/>
    <mergeCell ref="N57:O57"/>
    <mergeCell ref="N42:N43"/>
    <mergeCell ref="O42:O43"/>
    <mergeCell ref="P42:P43"/>
    <mergeCell ref="N59:O59"/>
    <mergeCell ref="N60:O60"/>
    <mergeCell ref="S42:S43"/>
    <mergeCell ref="T42:T43"/>
    <mergeCell ref="U42:U43"/>
    <mergeCell ref="N26:N27"/>
    <mergeCell ref="O26:O27"/>
    <mergeCell ref="U28:U29"/>
    <mergeCell ref="T28:T29"/>
    <mergeCell ref="S26:S27"/>
    <mergeCell ref="T26:T27"/>
    <mergeCell ref="U26:U27"/>
    <mergeCell ref="S35:S36"/>
    <mergeCell ref="T35:T36"/>
    <mergeCell ref="U35:U36"/>
    <mergeCell ref="N35:N36"/>
    <mergeCell ref="O35:O36"/>
    <mergeCell ref="P35:P36"/>
    <mergeCell ref="D3:D4"/>
    <mergeCell ref="C3:C4"/>
    <mergeCell ref="B3:B4"/>
    <mergeCell ref="A3:A4"/>
    <mergeCell ref="J7:K7"/>
    <mergeCell ref="E3:E4"/>
    <mergeCell ref="J42:J43"/>
    <mergeCell ref="K42:K43"/>
    <mergeCell ref="J35:J36"/>
    <mergeCell ref="K35:K36"/>
    <mergeCell ref="K26:K27"/>
    <mergeCell ref="J16:J17"/>
    <mergeCell ref="K16:K17"/>
    <mergeCell ref="J26:J27"/>
    <mergeCell ref="F3:F4"/>
    <mergeCell ref="H3:H4"/>
    <mergeCell ref="G3:G4"/>
    <mergeCell ref="T16:T17"/>
    <mergeCell ref="U16:U17"/>
    <mergeCell ref="M5:N5"/>
    <mergeCell ref="R5:S5"/>
    <mergeCell ref="S16:S17"/>
    <mergeCell ref="O16:O17"/>
    <mergeCell ref="P16:P17"/>
    <mergeCell ref="N16:N17"/>
  </mergeCells>
  <phoneticPr fontId="1" type="noConversion"/>
  <dataValidations count="4">
    <dataValidation type="list" allowBlank="1" showInputMessage="1" showErrorMessage="1" sqref="C5:C124" xr:uid="{2BE5FC10-9244-4935-A1EE-376951374A5F}">
      <formula1>"Prime, Choice, Select, Standard, No Roll"</formula1>
    </dataValidation>
    <dataValidation type="list" allowBlank="1" showInputMessage="1" showErrorMessage="1" sqref="D5:D124" xr:uid="{F3074892-39BD-4550-8B27-5AAF5D115D54}">
      <formula1>"1, 2, 3, 4, 5"</formula1>
    </dataValidation>
    <dataValidation type="list" allowBlank="1" showInputMessage="1" showErrorMessage="1" sqref="E5:E124" xr:uid="{479F1D45-9390-491A-91CB-174B1E4B6A45}">
      <formula1>"1, 2, 3, 4"</formula1>
    </dataValidation>
    <dataValidation type="list" allowBlank="1" showInputMessage="1" showErrorMessage="1" sqref="F5:H124" xr:uid="{CD94FA1F-A173-4C7C-A8C6-F26EEA5C7450}">
      <formula1>"Yes, No"</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7F408B-2D62-4B79-B871-E79A4AB59B7C}">
  <sheetPr>
    <tabColor theme="9" tint="0.79998168889431442"/>
  </sheetPr>
  <dimension ref="A1:BA200"/>
  <sheetViews>
    <sheetView zoomScale="50" zoomScaleNormal="50" workbookViewId="0">
      <selection activeCell="AL61" sqref="AL61"/>
    </sheetView>
  </sheetViews>
  <sheetFormatPr defaultColWidth="8.7265625" defaultRowHeight="15.5" x14ac:dyDescent="0.35"/>
  <cols>
    <col min="1" max="1" width="32.6328125" style="1" customWidth="1"/>
    <col min="2" max="2" width="15.90625" style="1" customWidth="1"/>
    <col min="3" max="3" width="15.7265625" style="2" customWidth="1"/>
    <col min="4" max="4" width="17" style="2" customWidth="1"/>
    <col min="5" max="5" width="8.7265625" style="51"/>
    <col min="6" max="6" width="26.26953125" style="1" customWidth="1"/>
    <col min="7" max="7" width="22.90625" style="1" customWidth="1"/>
    <col min="8" max="8" width="20.08984375" style="1" customWidth="1"/>
    <col min="9" max="9" width="19.7265625" style="1" customWidth="1"/>
    <col min="10" max="10" width="11.54296875" style="1" customWidth="1"/>
    <col min="11" max="11" width="11.54296875" style="19" customWidth="1"/>
    <col min="12" max="12" width="27.36328125" style="1" customWidth="1"/>
    <col min="13" max="13" width="22.36328125" style="1" customWidth="1"/>
    <col min="14" max="14" width="20.54296875" style="1" customWidth="1"/>
    <col min="15" max="15" width="11.6328125" style="1" customWidth="1"/>
    <col min="16" max="16" width="11.6328125" style="2" customWidth="1"/>
    <col min="17" max="18" width="11.6328125" style="51" customWidth="1"/>
    <col min="19" max="19" width="12.36328125" style="51" customWidth="1"/>
    <col min="20" max="53" width="8.7265625" style="51"/>
    <col min="54" max="16384" width="8.7265625" style="1"/>
  </cols>
  <sheetData>
    <row r="1" spans="1:19" ht="18.5" x14ac:dyDescent="0.45">
      <c r="A1" s="117" t="s">
        <v>66</v>
      </c>
      <c r="B1" s="117"/>
      <c r="C1" s="117"/>
      <c r="D1" s="117"/>
      <c r="E1" s="117"/>
      <c r="F1" s="117"/>
      <c r="G1" s="117"/>
      <c r="H1" s="117"/>
      <c r="I1" s="117"/>
      <c r="J1" s="117"/>
      <c r="K1" s="117"/>
      <c r="L1" s="117"/>
      <c r="M1" s="117"/>
      <c r="N1" s="117"/>
      <c r="O1" s="117"/>
      <c r="P1" s="117"/>
    </row>
    <row r="2" spans="1:19" x14ac:dyDescent="0.35">
      <c r="A2" s="51"/>
      <c r="B2" s="51"/>
      <c r="C2" s="51"/>
      <c r="D2" s="51"/>
      <c r="F2" s="51"/>
      <c r="G2" s="51"/>
      <c r="H2" s="51"/>
      <c r="I2" s="51"/>
      <c r="J2" s="51"/>
      <c r="K2" s="86"/>
      <c r="L2" s="51"/>
      <c r="M2" s="51"/>
      <c r="N2" s="51"/>
      <c r="O2" s="51"/>
      <c r="P2" s="51"/>
    </row>
    <row r="3" spans="1:19" ht="17" x14ac:dyDescent="0.4">
      <c r="A3" s="21" t="s">
        <v>68</v>
      </c>
      <c r="B3" s="91"/>
      <c r="C3" s="51"/>
      <c r="D3" s="51"/>
      <c r="F3" s="51"/>
      <c r="G3" s="51"/>
      <c r="H3" s="51"/>
      <c r="I3" s="51"/>
      <c r="J3" s="51"/>
      <c r="K3" s="86"/>
      <c r="L3" s="51"/>
      <c r="M3" s="51"/>
      <c r="N3" s="51"/>
      <c r="O3" s="51"/>
      <c r="P3" s="51"/>
    </row>
    <row r="4" spans="1:19" x14ac:dyDescent="0.35">
      <c r="A4" s="51"/>
      <c r="B4" s="51"/>
      <c r="C4" s="61"/>
      <c r="D4" s="61"/>
      <c r="E4" s="61"/>
      <c r="F4" s="51"/>
      <c r="G4" s="51"/>
      <c r="H4" s="51"/>
      <c r="I4" s="51"/>
      <c r="J4" s="51"/>
      <c r="K4" s="86"/>
      <c r="L4" s="51"/>
      <c r="N4" s="51"/>
      <c r="O4" s="51"/>
      <c r="P4" s="51"/>
    </row>
    <row r="5" spans="1:19" ht="17" x14ac:dyDescent="0.4">
      <c r="A5" s="18" t="s">
        <v>48</v>
      </c>
      <c r="B5" s="75">
        <f>'Contract Comparison Tool'!K5</f>
        <v>10.25</v>
      </c>
      <c r="C5" s="51"/>
      <c r="D5" s="51"/>
      <c r="F5" s="105" t="s">
        <v>18</v>
      </c>
      <c r="G5" s="105"/>
      <c r="H5" s="70"/>
      <c r="I5" s="51"/>
      <c r="J5" s="51"/>
      <c r="K5" s="86"/>
      <c r="L5" s="106" t="s">
        <v>17</v>
      </c>
      <c r="M5" s="107"/>
      <c r="N5" s="51"/>
      <c r="O5" s="51"/>
      <c r="P5" s="51"/>
    </row>
    <row r="6" spans="1:19" ht="15.5" customHeight="1" x14ac:dyDescent="0.35">
      <c r="A6" s="51"/>
      <c r="B6" s="51"/>
      <c r="C6" s="51"/>
      <c r="D6" s="51"/>
      <c r="F6" s="3" t="s">
        <v>28</v>
      </c>
      <c r="G6" s="4">
        <v>61.5</v>
      </c>
      <c r="H6" s="51"/>
      <c r="I6" s="51"/>
      <c r="J6" s="51"/>
      <c r="K6" s="86"/>
      <c r="L6" s="3" t="s">
        <v>28</v>
      </c>
      <c r="M6" s="4">
        <v>61</v>
      </c>
      <c r="N6" s="51"/>
      <c r="O6" s="51"/>
      <c r="P6" s="51"/>
    </row>
    <row r="7" spans="1:19" ht="17" customHeight="1" x14ac:dyDescent="0.4">
      <c r="A7" s="106" t="s">
        <v>3</v>
      </c>
      <c r="B7" s="107"/>
      <c r="C7" s="62"/>
      <c r="D7" s="62"/>
      <c r="E7" s="62"/>
      <c r="F7" s="3" t="s">
        <v>34</v>
      </c>
      <c r="G7" s="102">
        <f>'Contract Comparison Tool'!N7</f>
        <v>49000</v>
      </c>
      <c r="H7" s="51"/>
      <c r="I7" s="51"/>
      <c r="J7" s="51"/>
      <c r="K7" s="86"/>
      <c r="L7" s="3" t="s">
        <v>34</v>
      </c>
      <c r="M7" s="100">
        <f>G7</f>
        <v>49000</v>
      </c>
      <c r="N7" s="51"/>
      <c r="O7" s="51"/>
      <c r="P7" s="51"/>
    </row>
    <row r="8" spans="1:19" x14ac:dyDescent="0.35">
      <c r="A8" s="6" t="s">
        <v>23</v>
      </c>
      <c r="B8" s="7">
        <f>'Contract Comparison Tool'!K8</f>
        <v>36</v>
      </c>
      <c r="C8" s="63"/>
      <c r="D8" s="63"/>
      <c r="E8" s="63"/>
      <c r="F8" s="3" t="s">
        <v>35</v>
      </c>
      <c r="G8" s="101" cm="1">
        <f t="array" ref="G8">_xlfn.IFS(B10&gt;(G7+(G7*0.03)), (B10-(G7+(G7*0.03))), B10&lt;(G7-(G7*0.03)), (B10-(G7-(G7*0.03))), B10&lt;(G7+(G7*0.03)), "0", B10&gt;(G7-(G7*0.03)), "0")</f>
        <v>1230</v>
      </c>
      <c r="H8" s="51"/>
      <c r="I8" s="51"/>
      <c r="J8" s="51"/>
      <c r="K8" s="86"/>
      <c r="L8" s="3" t="s">
        <v>35</v>
      </c>
      <c r="M8" s="101" cm="1">
        <f t="array" ref="M8">_xlfn.IFS(B10&gt;(M7+(M7*0.03)), (B10-(M7+(M7*0.03))), B10&lt;(M7-(M7*0.03)), (B10-(M7-(M7*0.03))), B10&lt;(M7+(M7*0.03)), "0", B10&gt;(M7-(M7*0.03)), "0")</f>
        <v>1230</v>
      </c>
      <c r="N8" s="51"/>
      <c r="O8" s="51"/>
      <c r="P8" s="51"/>
    </row>
    <row r="9" spans="1:19" x14ac:dyDescent="0.35">
      <c r="A9" s="6" t="s">
        <v>87</v>
      </c>
      <c r="B9" s="7">
        <f>'Contract Comparison Tool'!K9</f>
        <v>0</v>
      </c>
      <c r="C9" s="63"/>
      <c r="D9" s="63"/>
      <c r="E9" s="63"/>
      <c r="F9" s="3" t="s">
        <v>31</v>
      </c>
      <c r="G9" s="49">
        <f>'Contract Comparison Tool'!N9</f>
        <v>112.75</v>
      </c>
      <c r="H9" s="51"/>
      <c r="I9" s="51"/>
      <c r="J9" s="51"/>
      <c r="K9" s="86"/>
      <c r="L9" s="3" t="s">
        <v>31</v>
      </c>
      <c r="M9" s="9">
        <v>112.75</v>
      </c>
      <c r="N9" s="51"/>
      <c r="O9" s="51"/>
      <c r="P9" s="51"/>
    </row>
    <row r="10" spans="1:19" x14ac:dyDescent="0.35">
      <c r="A10" s="3" t="s">
        <v>72</v>
      </c>
      <c r="B10" s="103">
        <f>'Contract Comparison Tool'!K10</f>
        <v>51700</v>
      </c>
      <c r="C10" s="63"/>
      <c r="D10" s="63"/>
      <c r="E10" s="64"/>
      <c r="F10" s="3" t="s">
        <v>32</v>
      </c>
      <c r="G10" s="75">
        <f>'Contract Comparison Tool'!N10</f>
        <v>-8</v>
      </c>
      <c r="H10" s="51"/>
      <c r="I10" s="51"/>
      <c r="J10" s="51"/>
      <c r="K10" s="86"/>
      <c r="L10" s="3" t="s">
        <v>32</v>
      </c>
      <c r="M10" s="75">
        <f>'Contract Comparison Tool'!S10</f>
        <v>-12</v>
      </c>
      <c r="N10" s="51"/>
      <c r="O10" s="51"/>
      <c r="P10" s="51"/>
    </row>
    <row r="11" spans="1:19" x14ac:dyDescent="0.35">
      <c r="A11" s="3" t="s">
        <v>73</v>
      </c>
      <c r="B11" s="100">
        <f>B10/B8</f>
        <v>1436.1111111111111</v>
      </c>
      <c r="C11" s="64"/>
      <c r="D11" s="64"/>
      <c r="E11" s="63"/>
      <c r="F11" s="3" t="s">
        <v>29</v>
      </c>
      <c r="G11" s="10">
        <f>G9+G10</f>
        <v>104.75</v>
      </c>
      <c r="H11" s="51"/>
      <c r="I11" s="51"/>
      <c r="J11" s="51"/>
      <c r="K11" s="86"/>
      <c r="L11" s="3" t="s">
        <v>29</v>
      </c>
      <c r="M11" s="10">
        <f>M9+M10</f>
        <v>100.75</v>
      </c>
      <c r="N11" s="71"/>
      <c r="O11" s="71"/>
      <c r="P11" s="71"/>
      <c r="Q11" s="71"/>
      <c r="R11" s="71"/>
    </row>
    <row r="12" spans="1:19" x14ac:dyDescent="0.35">
      <c r="A12" s="3" t="s">
        <v>74</v>
      </c>
      <c r="B12" s="100">
        <f>'Contract Comparison Tool'!K12</f>
        <v>31329</v>
      </c>
      <c r="C12" s="63"/>
      <c r="D12" s="63"/>
      <c r="E12" s="64"/>
      <c r="F12" s="3" t="s">
        <v>30</v>
      </c>
      <c r="G12" s="10">
        <f>G11/(G6/100)</f>
        <v>170.32520325203251</v>
      </c>
      <c r="H12" s="51"/>
      <c r="I12" s="51"/>
      <c r="J12" s="51"/>
      <c r="K12" s="86"/>
      <c r="L12" s="3" t="s">
        <v>30</v>
      </c>
      <c r="M12" s="10">
        <f>M11/(M6/100)</f>
        <v>165.1639344262295</v>
      </c>
      <c r="N12" s="71"/>
      <c r="O12" s="71"/>
      <c r="P12" s="71"/>
      <c r="Q12" s="71"/>
      <c r="R12" s="71"/>
    </row>
    <row r="13" spans="1:19" x14ac:dyDescent="0.35">
      <c r="A13" s="3" t="s">
        <v>75</v>
      </c>
      <c r="B13" s="100">
        <f>B12/B8</f>
        <v>870.25</v>
      </c>
      <c r="C13" s="64"/>
      <c r="D13" s="64"/>
      <c r="E13" s="65"/>
      <c r="F13" s="3" t="s">
        <v>33</v>
      </c>
      <c r="G13" s="75">
        <f>'Contract Comparison Tool'!N13</f>
        <v>96.38</v>
      </c>
      <c r="H13" s="51"/>
      <c r="I13" s="51"/>
      <c r="J13" s="51"/>
      <c r="K13" s="86"/>
      <c r="L13" s="3" t="s">
        <v>33</v>
      </c>
      <c r="M13" s="9">
        <v>96.38</v>
      </c>
      <c r="N13" s="51"/>
      <c r="O13" s="51"/>
      <c r="P13" s="51"/>
    </row>
    <row r="14" spans="1:19" x14ac:dyDescent="0.35">
      <c r="A14" s="3" t="s">
        <v>24</v>
      </c>
      <c r="B14" s="11">
        <f>(B12/B10)*100</f>
        <v>60.59767891682786</v>
      </c>
      <c r="C14" s="65"/>
      <c r="D14" s="65"/>
      <c r="F14" s="46" t="s">
        <v>88</v>
      </c>
      <c r="G14" s="9">
        <f>G13/(G6/100)</f>
        <v>156.71544715447155</v>
      </c>
      <c r="H14" s="51"/>
      <c r="I14" s="51"/>
      <c r="J14" s="51"/>
      <c r="K14" s="86"/>
      <c r="L14" s="46" t="s">
        <v>88</v>
      </c>
      <c r="M14" s="9">
        <f>M13/(M6/100)</f>
        <v>158</v>
      </c>
      <c r="N14" s="51"/>
      <c r="O14" s="51"/>
      <c r="P14" s="51"/>
    </row>
    <row r="15" spans="1:19" ht="14.5" customHeight="1" x14ac:dyDescent="0.35">
      <c r="A15" s="69"/>
      <c r="B15" s="51"/>
      <c r="C15" s="51"/>
      <c r="D15" s="51"/>
      <c r="F15" s="51"/>
      <c r="G15" s="51"/>
      <c r="H15" s="51"/>
      <c r="I15" s="51"/>
      <c r="J15" s="51"/>
      <c r="K15" s="86"/>
      <c r="L15" s="51"/>
      <c r="M15" s="51"/>
      <c r="N15" s="90"/>
      <c r="O15" s="51"/>
      <c r="P15" s="51"/>
      <c r="Q15" s="62"/>
      <c r="R15" s="62"/>
      <c r="S15" s="62"/>
    </row>
    <row r="16" spans="1:19" ht="17" customHeight="1" x14ac:dyDescent="0.35">
      <c r="A16" s="105" t="s">
        <v>26</v>
      </c>
      <c r="B16" s="105" t="s">
        <v>70</v>
      </c>
      <c r="C16" s="120" t="s">
        <v>62</v>
      </c>
      <c r="D16" s="120" t="s">
        <v>71</v>
      </c>
      <c r="E16" s="62"/>
      <c r="F16" s="123" t="s">
        <v>53</v>
      </c>
      <c r="G16" s="123" t="s">
        <v>80</v>
      </c>
      <c r="H16" s="105" t="s">
        <v>46</v>
      </c>
      <c r="I16" s="108" t="s">
        <v>63</v>
      </c>
      <c r="J16" s="110" t="s">
        <v>44</v>
      </c>
      <c r="K16" s="88"/>
      <c r="L16" s="123" t="s">
        <v>26</v>
      </c>
      <c r="M16" s="123" t="s">
        <v>80</v>
      </c>
      <c r="N16" s="110" t="s">
        <v>46</v>
      </c>
      <c r="O16" s="108" t="s">
        <v>63</v>
      </c>
      <c r="P16" s="110" t="s">
        <v>44</v>
      </c>
      <c r="Q16" s="62"/>
      <c r="R16" s="62"/>
      <c r="S16" s="62"/>
    </row>
    <row r="17" spans="1:19" x14ac:dyDescent="0.35">
      <c r="A17" s="105"/>
      <c r="B17" s="105"/>
      <c r="C17" s="120"/>
      <c r="D17" s="120"/>
      <c r="E17" s="63"/>
      <c r="F17" s="124"/>
      <c r="G17" s="124"/>
      <c r="H17" s="105"/>
      <c r="I17" s="109"/>
      <c r="J17" s="111"/>
      <c r="K17" s="88"/>
      <c r="L17" s="127"/>
      <c r="M17" s="124"/>
      <c r="N17" s="128"/>
      <c r="O17" s="109"/>
      <c r="P17" s="111"/>
      <c r="Q17" s="63"/>
      <c r="R17" s="63"/>
      <c r="S17" s="63"/>
    </row>
    <row r="18" spans="1:19" x14ac:dyDescent="0.35">
      <c r="A18" s="3" t="s">
        <v>9</v>
      </c>
      <c r="B18" s="7">
        <f>'Contract Comparison Tool'!K18</f>
        <v>0</v>
      </c>
      <c r="C18" s="91">
        <v>0</v>
      </c>
      <c r="D18" s="7">
        <f>B18+C18</f>
        <v>0</v>
      </c>
      <c r="E18" s="63"/>
      <c r="F18" s="3" t="s">
        <v>9</v>
      </c>
      <c r="G18" s="94" t="str">
        <f>IFERROR(AVERAGEIF('Contract Comparison Tool'!$B$5:$B$124,"&lt;600", 'Contract Comparison Tool'!$B$5:$B$124), "590")</f>
        <v>590</v>
      </c>
      <c r="H18" s="3">
        <f t="shared" ref="H18:H25" si="0">G18*D18</f>
        <v>0</v>
      </c>
      <c r="I18" s="97">
        <v>-50</v>
      </c>
      <c r="J18" s="39">
        <f t="shared" ref="J18:J25" si="1">H18*I18/100</f>
        <v>0</v>
      </c>
      <c r="K18" s="89"/>
      <c r="L18" s="3" t="s">
        <v>9</v>
      </c>
      <c r="M18" s="94" t="str">
        <f>IFERROR(AVERAGEIF('Contract Comparison Tool'!$B$5:$B$124,"&lt;600", 'Contract Comparison Tool'!$B$5:$B$124), "590")</f>
        <v>590</v>
      </c>
      <c r="N18" s="3">
        <f t="shared" ref="N18:N25" si="2">M18*D18</f>
        <v>0</v>
      </c>
      <c r="O18" s="79">
        <v>-40</v>
      </c>
      <c r="P18" s="16">
        <f t="shared" ref="P18:P23" si="3">(N18*O18/100)</f>
        <v>0</v>
      </c>
      <c r="Q18" s="63"/>
      <c r="R18" s="63"/>
      <c r="S18" s="63"/>
    </row>
    <row r="19" spans="1:19" x14ac:dyDescent="0.35">
      <c r="A19" s="3" t="s">
        <v>10</v>
      </c>
      <c r="B19" s="7">
        <f>'Contract Comparison Tool'!K19</f>
        <v>0</v>
      </c>
      <c r="C19" s="91">
        <v>0</v>
      </c>
      <c r="D19" s="7">
        <f t="shared" ref="D19:D25" si="4">B19+C19</f>
        <v>0</v>
      </c>
      <c r="E19" s="63"/>
      <c r="F19" s="3" t="s">
        <v>10</v>
      </c>
      <c r="G19" s="94" t="str">
        <f>IFERROR(AVERAGEIFS('Contract Comparison Tool'!$B$5:$B$124, 'Contract Comparison Tool'!$B$5:$B$124,"&gt;=600",'Contract Comparison Tool'!$B$5:$B$124, "&lt;650"), "625")</f>
        <v>625</v>
      </c>
      <c r="H19" s="3">
        <f t="shared" si="0"/>
        <v>0</v>
      </c>
      <c r="I19" s="97">
        <v>-25</v>
      </c>
      <c r="J19" s="39">
        <f t="shared" si="1"/>
        <v>0</v>
      </c>
      <c r="K19" s="89"/>
      <c r="L19" s="3" t="s">
        <v>10</v>
      </c>
      <c r="M19" s="94" t="str">
        <f>IFERROR(AVERAGEIFS('Contract Comparison Tool'!$B$5:$B$124, 'Contract Comparison Tool'!$B$5:$B$124,"&gt;=600",'Contract Comparison Tool'!$B$5:$B$124, "&lt;650"), "625")</f>
        <v>625</v>
      </c>
      <c r="N19" s="3">
        <f t="shared" si="2"/>
        <v>0</v>
      </c>
      <c r="O19" s="79">
        <v>-15</v>
      </c>
      <c r="P19" s="16">
        <f t="shared" si="3"/>
        <v>0</v>
      </c>
      <c r="Q19" s="61"/>
      <c r="R19" s="61"/>
      <c r="S19" s="61"/>
    </row>
    <row r="20" spans="1:19" x14ac:dyDescent="0.35">
      <c r="A20" s="3" t="s">
        <v>11</v>
      </c>
      <c r="B20" s="7">
        <f>'Contract Comparison Tool'!K20</f>
        <v>1</v>
      </c>
      <c r="C20" s="91">
        <v>0</v>
      </c>
      <c r="D20" s="7">
        <f t="shared" si="4"/>
        <v>1</v>
      </c>
      <c r="E20" s="63"/>
      <c r="F20" s="3" t="s">
        <v>11</v>
      </c>
      <c r="G20" s="94">
        <f>IFERROR(AVERAGEIFS('Contract Comparison Tool'!$B$5:$B$124, 'Contract Comparison Tool'!$B$5:$B$124,"&gt;=650",'Contract Comparison Tool'!$B$5:$B$124, "&lt;700"), "675")</f>
        <v>699</v>
      </c>
      <c r="H20" s="3">
        <f t="shared" si="0"/>
        <v>699</v>
      </c>
      <c r="I20" s="97">
        <v>-5</v>
      </c>
      <c r="J20" s="39">
        <f t="shared" si="1"/>
        <v>-34.950000000000003</v>
      </c>
      <c r="K20" s="89"/>
      <c r="L20" s="3" t="s">
        <v>11</v>
      </c>
      <c r="M20" s="94">
        <f>IFERROR(AVERAGEIFS('Contract Comparison Tool'!$B$5:$B$124, 'Contract Comparison Tool'!$B$5:$B$124,"&gt;=650",'Contract Comparison Tool'!$B$5:$B$124, "&lt;700"), "675")</f>
        <v>699</v>
      </c>
      <c r="N20" s="3">
        <f t="shared" si="2"/>
        <v>699</v>
      </c>
      <c r="O20" s="79">
        <v>-15</v>
      </c>
      <c r="P20" s="16">
        <f t="shared" si="3"/>
        <v>-104.85</v>
      </c>
      <c r="Q20" s="63"/>
      <c r="R20" s="63"/>
      <c r="S20" s="63"/>
    </row>
    <row r="21" spans="1:19" x14ac:dyDescent="0.35">
      <c r="A21" s="3" t="s">
        <v>12</v>
      </c>
      <c r="B21" s="7">
        <f>'Contract Comparison Tool'!K21</f>
        <v>33</v>
      </c>
      <c r="C21" s="91">
        <v>0</v>
      </c>
      <c r="D21" s="7">
        <f t="shared" si="4"/>
        <v>33</v>
      </c>
      <c r="E21" s="63"/>
      <c r="F21" s="3" t="s">
        <v>12</v>
      </c>
      <c r="G21" s="94">
        <f>IFERROR(AVERAGEIFS('Contract Comparison Tool'!$B$5:$B$124, 'Contract Comparison Tool'!$B$5:$B$124,"&gt;=700",'Contract Comparison Tool'!$B$5:$B$124, "&lt;1000"), "850")</f>
        <v>866.09090909090912</v>
      </c>
      <c r="H21" s="3">
        <f t="shared" si="0"/>
        <v>28581</v>
      </c>
      <c r="I21" s="97">
        <v>0</v>
      </c>
      <c r="J21" s="39">
        <f t="shared" si="1"/>
        <v>0</v>
      </c>
      <c r="K21" s="89"/>
      <c r="L21" s="3" t="s">
        <v>12</v>
      </c>
      <c r="M21" s="94">
        <f>IFERROR(AVERAGEIFS('Contract Comparison Tool'!$B$5:$B$124, 'Contract Comparison Tool'!$B$5:$B$124,"&gt;=700",'Contract Comparison Tool'!$B$5:$B$124, "&lt;1000"), "850")</f>
        <v>866.09090909090912</v>
      </c>
      <c r="N21" s="3">
        <f t="shared" si="2"/>
        <v>28581</v>
      </c>
      <c r="O21" s="75">
        <v>0</v>
      </c>
      <c r="P21" s="16">
        <f t="shared" si="3"/>
        <v>0</v>
      </c>
      <c r="Q21" s="61"/>
      <c r="R21" s="61"/>
      <c r="S21" s="61"/>
    </row>
    <row r="22" spans="1:19" x14ac:dyDescent="0.35">
      <c r="A22" s="3" t="s">
        <v>13</v>
      </c>
      <c r="B22" s="7">
        <f>'Contract Comparison Tool'!K22</f>
        <v>2</v>
      </c>
      <c r="C22" s="91">
        <v>0</v>
      </c>
      <c r="D22" s="7">
        <f t="shared" si="4"/>
        <v>2</v>
      </c>
      <c r="E22" s="63"/>
      <c r="F22" s="3" t="s">
        <v>13</v>
      </c>
      <c r="G22" s="94">
        <f>IFERROR(AVERAGEIFS('Contract Comparison Tool'!$B$5:$B$124, 'Contract Comparison Tool'!$B$5:$B$124,"&gt;=1000",'Contract Comparison Tool'!$B$5:$B$124, "&lt;1050"), "1025")</f>
        <v>1024.5</v>
      </c>
      <c r="H22" s="38">
        <f t="shared" si="0"/>
        <v>2049</v>
      </c>
      <c r="I22" s="97">
        <v>-10</v>
      </c>
      <c r="J22" s="39">
        <f t="shared" si="1"/>
        <v>-204.9</v>
      </c>
      <c r="K22" s="89"/>
      <c r="L22" s="3" t="s">
        <v>13</v>
      </c>
      <c r="M22" s="94">
        <f>IFERROR(AVERAGEIFS('Contract Comparison Tool'!$B$5:$B$124, 'Contract Comparison Tool'!$B$5:$B$124,"&gt;=1000",'Contract Comparison Tool'!$B$5:$B$124, "&lt;1050"), "1025")</f>
        <v>1024.5</v>
      </c>
      <c r="N22" s="38">
        <f t="shared" si="2"/>
        <v>2049</v>
      </c>
      <c r="O22" s="78">
        <v>-15</v>
      </c>
      <c r="P22" s="13">
        <f t="shared" si="3"/>
        <v>-307.35000000000002</v>
      </c>
      <c r="Q22" s="63"/>
      <c r="R22" s="63"/>
      <c r="S22" s="63"/>
    </row>
    <row r="23" spans="1:19" x14ac:dyDescent="0.35">
      <c r="A23" s="3" t="s">
        <v>14</v>
      </c>
      <c r="B23" s="7">
        <f>'Contract Comparison Tool'!K23</f>
        <v>0</v>
      </c>
      <c r="C23" s="91">
        <v>0</v>
      </c>
      <c r="D23" s="7">
        <f t="shared" si="4"/>
        <v>0</v>
      </c>
      <c r="E23" s="63"/>
      <c r="F23" s="12" t="s">
        <v>14</v>
      </c>
      <c r="G23" s="94" t="str">
        <f>IFERROR(AVERAGEIFS('Contract Comparison Tool'!$B$5:$B$124, 'Contract Comparison Tool'!$B$5:$B$124,"&gt;=1050",'Contract Comparison Tool'!$B$5:$B$124, "&lt;1100"), "1075")</f>
        <v>1075</v>
      </c>
      <c r="H23" s="3">
        <f t="shared" si="0"/>
        <v>0</v>
      </c>
      <c r="I23" s="97">
        <v>-30</v>
      </c>
      <c r="J23" s="39">
        <f t="shared" si="1"/>
        <v>0</v>
      </c>
      <c r="K23" s="89"/>
      <c r="L23" s="12" t="s">
        <v>14</v>
      </c>
      <c r="M23" s="94" t="str">
        <f>IFERROR(AVERAGEIFS('Contract Comparison Tool'!$B$5:$B$124, 'Contract Comparison Tool'!$B$5:$B$124,"&gt;=1050",'Contract Comparison Tool'!$B$5:$B$124, "&lt;1100"), "1075")</f>
        <v>1075</v>
      </c>
      <c r="N23" s="3">
        <f t="shared" si="2"/>
        <v>0</v>
      </c>
      <c r="O23" s="78">
        <v>-15</v>
      </c>
      <c r="P23" s="13">
        <f t="shared" si="3"/>
        <v>0</v>
      </c>
      <c r="Q23" s="63"/>
      <c r="R23" s="63"/>
      <c r="S23" s="63"/>
    </row>
    <row r="24" spans="1:19" x14ac:dyDescent="0.35">
      <c r="A24" s="3" t="s">
        <v>15</v>
      </c>
      <c r="B24" s="7">
        <f>'Contract Comparison Tool'!K24</f>
        <v>0</v>
      </c>
      <c r="C24" s="91">
        <v>0</v>
      </c>
      <c r="D24" s="7">
        <f t="shared" si="4"/>
        <v>0</v>
      </c>
      <c r="E24" s="63"/>
      <c r="F24" s="3" t="s">
        <v>15</v>
      </c>
      <c r="G24" s="96" t="str">
        <f>IFERROR(AVERAGEIFS('Contract Comparison Tool'!$B$5:$B$124,'Contract Comparison Tool'!$B$5:$B$124,"&gt;=1100",'Contract Comparison Tool'!$B$5:$B$124,"&lt;1200"),"1150")</f>
        <v>1150</v>
      </c>
      <c r="H24" s="3">
        <f t="shared" si="0"/>
        <v>0</v>
      </c>
      <c r="I24" s="98">
        <v>-50</v>
      </c>
      <c r="J24" s="40">
        <f t="shared" si="1"/>
        <v>0</v>
      </c>
      <c r="K24" s="89"/>
      <c r="L24" s="3" t="s">
        <v>15</v>
      </c>
      <c r="M24" s="96" t="str">
        <f>IFERROR(AVERAGEIFS('Contract Comparison Tool'!$B$5:$B$124,'Contract Comparison Tool'!$B$5:$B$124,"&gt;=1100",'Contract Comparison Tool'!$B$5:$B$124,"&lt;1200"),"1150")</f>
        <v>1150</v>
      </c>
      <c r="N24" s="3">
        <f t="shared" si="2"/>
        <v>0</v>
      </c>
      <c r="O24" s="78">
        <v>-15</v>
      </c>
      <c r="P24" s="13">
        <f t="shared" ref="P24:P25" si="5">(N24*O24/100)</f>
        <v>0</v>
      </c>
      <c r="Q24" s="63"/>
      <c r="R24" s="63"/>
      <c r="S24" s="63"/>
    </row>
    <row r="25" spans="1:19" ht="14.5" customHeight="1" x14ac:dyDescent="0.35">
      <c r="A25" s="3" t="s">
        <v>25</v>
      </c>
      <c r="B25" s="7">
        <f>'Contract Comparison Tool'!K25</f>
        <v>0</v>
      </c>
      <c r="C25" s="91">
        <v>0</v>
      </c>
      <c r="D25" s="7">
        <f t="shared" si="4"/>
        <v>0</v>
      </c>
      <c r="E25" s="63"/>
      <c r="F25" s="3" t="s">
        <v>25</v>
      </c>
      <c r="G25" s="94" t="str">
        <f>IFERROR(AVERAGEIF('Contract Comparison Tool'!$B$5:$B$124,"&gt;=1200", 'Contract Comparison Tool'!$B$5:$B$124), "1210")</f>
        <v>1210</v>
      </c>
      <c r="H25" s="3">
        <f t="shared" si="0"/>
        <v>0</v>
      </c>
      <c r="I25" s="97">
        <v>-50</v>
      </c>
      <c r="J25" s="39">
        <f t="shared" si="1"/>
        <v>0</v>
      </c>
      <c r="K25" s="89"/>
      <c r="L25" s="3" t="s">
        <v>25</v>
      </c>
      <c r="M25" s="94" t="str">
        <f>IFERROR(AVERAGEIF('Contract Comparison Tool'!$B$5:$B$124,"&gt;=1200", 'Contract Comparison Tool'!$B$5:$B$124), "1210")</f>
        <v>1210</v>
      </c>
      <c r="N25" s="3">
        <f t="shared" si="2"/>
        <v>0</v>
      </c>
      <c r="O25" s="75">
        <v>-15</v>
      </c>
      <c r="P25" s="10">
        <f t="shared" si="5"/>
        <v>0</v>
      </c>
      <c r="Q25" s="62"/>
      <c r="R25" s="62"/>
      <c r="S25" s="62"/>
    </row>
    <row r="26" spans="1:19" ht="15.5" customHeight="1" x14ac:dyDescent="0.35">
      <c r="A26" s="105" t="s">
        <v>1</v>
      </c>
      <c r="B26" s="105" t="s">
        <v>70</v>
      </c>
      <c r="C26" s="120" t="s">
        <v>62</v>
      </c>
      <c r="D26" s="120" t="s">
        <v>71</v>
      </c>
      <c r="E26" s="62"/>
      <c r="F26" s="123" t="s">
        <v>1</v>
      </c>
      <c r="G26" s="123" t="s">
        <v>80</v>
      </c>
      <c r="H26" s="111" t="s">
        <v>46</v>
      </c>
      <c r="I26" s="108" t="s">
        <v>43</v>
      </c>
      <c r="J26" s="110" t="s">
        <v>44</v>
      </c>
      <c r="K26" s="88"/>
      <c r="L26" s="127" t="s">
        <v>1</v>
      </c>
      <c r="M26" s="123" t="s">
        <v>80</v>
      </c>
      <c r="N26" s="110" t="s">
        <v>46</v>
      </c>
      <c r="O26" s="129" t="s">
        <v>43</v>
      </c>
      <c r="P26" s="128" t="s">
        <v>44</v>
      </c>
      <c r="Q26" s="62"/>
      <c r="R26" s="62"/>
      <c r="S26" s="62"/>
    </row>
    <row r="27" spans="1:19" x14ac:dyDescent="0.35">
      <c r="A27" s="105"/>
      <c r="B27" s="105"/>
      <c r="C27" s="120"/>
      <c r="D27" s="120"/>
      <c r="E27" s="63"/>
      <c r="F27" s="124"/>
      <c r="G27" s="124"/>
      <c r="H27" s="105"/>
      <c r="I27" s="109"/>
      <c r="J27" s="111"/>
      <c r="K27" s="88"/>
      <c r="L27" s="124"/>
      <c r="M27" s="124"/>
      <c r="N27" s="111"/>
      <c r="O27" s="109"/>
      <c r="P27" s="111"/>
      <c r="Q27" s="61"/>
      <c r="R27" s="61"/>
      <c r="S27" s="61"/>
    </row>
    <row r="28" spans="1:19" x14ac:dyDescent="0.35">
      <c r="A28" s="3" t="s">
        <v>4</v>
      </c>
      <c r="B28" s="7">
        <f>'Contract Comparison Tool'!K28</f>
        <v>3</v>
      </c>
      <c r="C28" s="91">
        <v>0</v>
      </c>
      <c r="D28" s="7">
        <f t="shared" ref="D28:D34" si="6">B28+C28</f>
        <v>3</v>
      </c>
      <c r="E28" s="63"/>
      <c r="F28" s="6" t="s">
        <v>4</v>
      </c>
      <c r="G28" s="95">
        <f>IFERROR(AVERAGEIF('Contract Comparison Tool'!$C$5:$C$124,"Prime",'Contract Comparison Tool'!$B$5:$B$124), B13)</f>
        <v>876</v>
      </c>
      <c r="H28" s="38">
        <f t="shared" ref="H28:H34" si="7">G28*D28</f>
        <v>2628</v>
      </c>
      <c r="I28" s="99">
        <v>10</v>
      </c>
      <c r="J28" s="41">
        <f t="shared" ref="J28:J34" si="8">H28*I28/100</f>
        <v>262.8</v>
      </c>
      <c r="K28" s="89"/>
      <c r="L28" s="115" t="s">
        <v>50</v>
      </c>
      <c r="M28" s="130">
        <f>IFERROR(AVERAGEIFS('Contract Comparison Tool'!$B$5:$B$124,'Contract Comparison Tool'!$C$5:$C$124, "*i*"), B13)</f>
        <v>882.80952380952385</v>
      </c>
      <c r="N28" s="113">
        <f>M28*(D28+D29)</f>
        <v>18539</v>
      </c>
      <c r="O28" s="112">
        <f>B5</f>
        <v>10.25</v>
      </c>
      <c r="P28" s="112">
        <f>((((((((D28+D29)/(B8-D31))*100)-70)/100)*(B8-D31))*M28)*O28/100)</f>
        <v>-380.04949999999997</v>
      </c>
      <c r="Q28" s="63"/>
      <c r="R28" s="63"/>
      <c r="S28" s="63"/>
    </row>
    <row r="29" spans="1:19" x14ac:dyDescent="0.35">
      <c r="A29" s="3" t="s">
        <v>5</v>
      </c>
      <c r="B29" s="7">
        <f>'Contract Comparison Tool'!K29</f>
        <v>18</v>
      </c>
      <c r="C29" s="91">
        <v>0</v>
      </c>
      <c r="D29" s="7">
        <f t="shared" si="6"/>
        <v>18</v>
      </c>
      <c r="E29" s="63"/>
      <c r="F29" s="3" t="s">
        <v>5</v>
      </c>
      <c r="G29" s="95">
        <f>IFERROR(AVERAGEIF('Contract Comparison Tool'!$C$5:$C$124,"Choice",'Contract Comparison Tool'!$B$5:$B$124), B13)</f>
        <v>883.94444444444446</v>
      </c>
      <c r="H29" s="38">
        <f t="shared" si="7"/>
        <v>15911</v>
      </c>
      <c r="I29" s="97">
        <v>0</v>
      </c>
      <c r="J29" s="41">
        <f t="shared" si="8"/>
        <v>0</v>
      </c>
      <c r="K29" s="89"/>
      <c r="L29" s="115"/>
      <c r="M29" s="131"/>
      <c r="N29" s="113">
        <f>M29*D29</f>
        <v>0</v>
      </c>
      <c r="O29" s="112"/>
      <c r="P29" s="112"/>
      <c r="Q29" s="63"/>
      <c r="R29" s="63"/>
      <c r="S29" s="63"/>
    </row>
    <row r="30" spans="1:19" x14ac:dyDescent="0.35">
      <c r="A30" s="3" t="s">
        <v>6</v>
      </c>
      <c r="B30" s="7">
        <f>'Contract Comparison Tool'!K30</f>
        <v>15</v>
      </c>
      <c r="C30" s="91">
        <v>0</v>
      </c>
      <c r="D30" s="7">
        <f t="shared" si="6"/>
        <v>15</v>
      </c>
      <c r="E30" s="63"/>
      <c r="F30" s="6" t="s">
        <v>6</v>
      </c>
      <c r="G30" s="95">
        <f>IFERROR(AVERAGEIF('Contract Comparison Tool'!$C$5:$C$124,"Select",'Contract Comparison Tool'!$B$5:$B$124), B13)</f>
        <v>852.66666666666663</v>
      </c>
      <c r="H30" s="38">
        <f t="shared" si="7"/>
        <v>12790</v>
      </c>
      <c r="I30" s="97">
        <f>-(B5+4)</f>
        <v>-14.25</v>
      </c>
      <c r="J30" s="41">
        <f t="shared" si="8"/>
        <v>-1822.575</v>
      </c>
      <c r="K30" s="89"/>
      <c r="L30" s="32"/>
      <c r="M30" s="25"/>
      <c r="N30" s="26"/>
      <c r="O30" s="27"/>
      <c r="P30" s="33"/>
      <c r="Q30" s="63"/>
      <c r="R30" s="63"/>
      <c r="S30" s="63"/>
    </row>
    <row r="31" spans="1:19" x14ac:dyDescent="0.35">
      <c r="A31" s="3" t="s">
        <v>7</v>
      </c>
      <c r="B31" s="7">
        <f>'Contract Comparison Tool'!K31</f>
        <v>0</v>
      </c>
      <c r="C31" s="91">
        <v>0</v>
      </c>
      <c r="D31" s="7">
        <f t="shared" si="6"/>
        <v>0</v>
      </c>
      <c r="E31" s="63"/>
      <c r="F31" s="3" t="s">
        <v>7</v>
      </c>
      <c r="G31" s="95">
        <f>IFERROR(AVERAGEIF('Contract Comparison Tool'!$C$5:$C$124,"Standard",'Contract Comparison Tool'!$B$5:$B$124), B13)</f>
        <v>870.25</v>
      </c>
      <c r="H31" s="3">
        <f t="shared" si="7"/>
        <v>0</v>
      </c>
      <c r="I31" s="97">
        <v>-35</v>
      </c>
      <c r="J31" s="41">
        <f t="shared" si="8"/>
        <v>0</v>
      </c>
      <c r="K31" s="89"/>
      <c r="L31" s="3" t="s">
        <v>7</v>
      </c>
      <c r="M31" s="95">
        <f>IFERROR(AVERAGEIF('Contract Comparison Tool'!$C$5:$C$124,"Standard",'Contract Comparison Tool'!$B$5:$B$124), B13)</f>
        <v>870.25</v>
      </c>
      <c r="N31" s="3">
        <f>M31*J31</f>
        <v>0</v>
      </c>
      <c r="O31" s="97">
        <v>-35</v>
      </c>
      <c r="P31" s="41">
        <f>N31*O31/100</f>
        <v>0</v>
      </c>
      <c r="Q31" s="63"/>
      <c r="R31" s="63"/>
      <c r="S31" s="63"/>
    </row>
    <row r="32" spans="1:19" x14ac:dyDescent="0.35">
      <c r="A32" s="3" t="s">
        <v>42</v>
      </c>
      <c r="B32" s="7">
        <f>'Contract Comparison Tool'!K32</f>
        <v>0</v>
      </c>
      <c r="C32" s="91">
        <v>0</v>
      </c>
      <c r="D32" s="7">
        <f t="shared" si="6"/>
        <v>0</v>
      </c>
      <c r="E32" s="63"/>
      <c r="F32" s="3" t="s">
        <v>42</v>
      </c>
      <c r="G32" s="95">
        <f>IFERROR(AVERAGEIF('Contract Comparison Tool'!$C$5:$C$124,"No Roll",'Contract Comparison Tool'!$B$5:$B$124), B13)</f>
        <v>870.25</v>
      </c>
      <c r="H32" s="3">
        <f t="shared" si="7"/>
        <v>0</v>
      </c>
      <c r="I32" s="97">
        <v>-35</v>
      </c>
      <c r="J32" s="41">
        <f t="shared" si="8"/>
        <v>0</v>
      </c>
      <c r="K32" s="89"/>
      <c r="L32" s="32"/>
      <c r="M32" s="25"/>
      <c r="N32" s="26"/>
      <c r="O32" s="27"/>
      <c r="P32" s="33"/>
      <c r="Q32" s="63"/>
      <c r="R32" s="63"/>
      <c r="S32" s="63"/>
    </row>
    <row r="33" spans="1:19" x14ac:dyDescent="0.35">
      <c r="A33" s="3" t="s">
        <v>40</v>
      </c>
      <c r="B33" s="7">
        <f>'Contract Comparison Tool'!K33</f>
        <v>0</v>
      </c>
      <c r="C33" s="91">
        <v>0</v>
      </c>
      <c r="D33" s="7">
        <f t="shared" si="6"/>
        <v>0</v>
      </c>
      <c r="E33" s="63"/>
      <c r="F33" s="3" t="s">
        <v>40</v>
      </c>
      <c r="G33" s="95">
        <f>IFERROR(AVERAGEIF('Contract Comparison Tool'!$F$5:$F$124,"Yes",'Contract Comparison Tool'!$B$5:$B$124), B13)</f>
        <v>870.25</v>
      </c>
      <c r="H33" s="3">
        <f t="shared" si="7"/>
        <v>0</v>
      </c>
      <c r="I33" s="98">
        <v>-35</v>
      </c>
      <c r="J33" s="41">
        <f t="shared" si="8"/>
        <v>0</v>
      </c>
      <c r="K33" s="89"/>
      <c r="L33" s="3" t="s">
        <v>40</v>
      </c>
      <c r="M33" s="95">
        <f>IFERROR(AVERAGEIF('Contract Comparison Tool'!$F$5:$F$124,"Yes",'Contract Comparison Tool'!$B$5:$B$124), B13)</f>
        <v>870.25</v>
      </c>
      <c r="N33" s="3">
        <f>M33*J33</f>
        <v>0</v>
      </c>
      <c r="O33" s="98">
        <v>-35</v>
      </c>
      <c r="P33" s="41">
        <f>N33*O33/100</f>
        <v>0</v>
      </c>
      <c r="Q33" s="63"/>
      <c r="R33" s="63"/>
      <c r="S33" s="63"/>
    </row>
    <row r="34" spans="1:19" ht="17" customHeight="1" x14ac:dyDescent="0.35">
      <c r="A34" s="3" t="s">
        <v>8</v>
      </c>
      <c r="B34" s="7">
        <f>'Contract Comparison Tool'!K34</f>
        <v>0</v>
      </c>
      <c r="C34" s="91">
        <v>0</v>
      </c>
      <c r="D34" s="7">
        <f t="shared" si="6"/>
        <v>0</v>
      </c>
      <c r="F34" s="3" t="s">
        <v>8</v>
      </c>
      <c r="G34" s="95">
        <f>IFERROR(AVERAGEIF('Contract Comparison Tool'!$G$5:$G$124,"Yes",'Contract Comparison Tool'!$B$5:$B$124), B13)</f>
        <v>870.25</v>
      </c>
      <c r="H34" s="3">
        <f t="shared" si="7"/>
        <v>0</v>
      </c>
      <c r="I34" s="97">
        <v>-20</v>
      </c>
      <c r="J34" s="41">
        <f t="shared" si="8"/>
        <v>0</v>
      </c>
      <c r="K34" s="89"/>
      <c r="L34" s="34"/>
      <c r="M34" s="42"/>
      <c r="N34" s="35"/>
      <c r="O34" s="36"/>
      <c r="P34" s="37"/>
      <c r="Q34" s="63"/>
      <c r="R34" s="63"/>
      <c r="S34" s="63"/>
    </row>
    <row r="35" spans="1:19" ht="14.5" customHeight="1" x14ac:dyDescent="0.35">
      <c r="A35" s="105" t="s">
        <v>2</v>
      </c>
      <c r="B35" s="105" t="s">
        <v>70</v>
      </c>
      <c r="C35" s="120" t="s">
        <v>62</v>
      </c>
      <c r="D35" s="120" t="s">
        <v>71</v>
      </c>
      <c r="E35" s="62"/>
      <c r="F35" s="123" t="s">
        <v>2</v>
      </c>
      <c r="G35" s="123" t="s">
        <v>80</v>
      </c>
      <c r="H35" s="111" t="s">
        <v>46</v>
      </c>
      <c r="I35" s="108" t="s">
        <v>63</v>
      </c>
      <c r="J35" s="110" t="s">
        <v>44</v>
      </c>
      <c r="K35" s="88"/>
      <c r="L35" s="127" t="s">
        <v>2</v>
      </c>
      <c r="M35" s="123" t="s">
        <v>80</v>
      </c>
      <c r="N35" s="110" t="s">
        <v>46</v>
      </c>
      <c r="O35" s="129" t="s">
        <v>63</v>
      </c>
      <c r="P35" s="128" t="s">
        <v>44</v>
      </c>
      <c r="Q35" s="62"/>
      <c r="R35" s="62"/>
      <c r="S35" s="62"/>
    </row>
    <row r="36" spans="1:19" ht="15.5" customHeight="1" x14ac:dyDescent="0.35">
      <c r="A36" s="105"/>
      <c r="B36" s="105"/>
      <c r="C36" s="120"/>
      <c r="D36" s="120"/>
      <c r="E36" s="63"/>
      <c r="F36" s="124"/>
      <c r="G36" s="124"/>
      <c r="H36" s="105"/>
      <c r="I36" s="109"/>
      <c r="J36" s="111"/>
      <c r="K36" s="88"/>
      <c r="L36" s="124"/>
      <c r="M36" s="124"/>
      <c r="N36" s="111"/>
      <c r="O36" s="109"/>
      <c r="P36" s="111"/>
      <c r="Q36" s="62"/>
      <c r="R36" s="62"/>
      <c r="S36" s="62"/>
    </row>
    <row r="37" spans="1:19" x14ac:dyDescent="0.35">
      <c r="A37" s="3" t="s">
        <v>77</v>
      </c>
      <c r="B37" s="7">
        <f>'Contract Comparison Tool'!K37</f>
        <v>0</v>
      </c>
      <c r="C37" s="91">
        <v>0</v>
      </c>
      <c r="D37" s="7">
        <f t="shared" ref="D37:D41" si="9">B37+C37</f>
        <v>0</v>
      </c>
      <c r="E37" s="63"/>
      <c r="F37" s="3" t="s">
        <v>77</v>
      </c>
      <c r="G37" s="92">
        <f>IFERROR(AVERAGEIF('Contract Comparison Tool'!$D$5:$D$124,"1",'Contract Comparison Tool'!$B$5:$B$124), $B$13)</f>
        <v>870.25</v>
      </c>
      <c r="H37" s="3">
        <f>G37*D37</f>
        <v>0</v>
      </c>
      <c r="I37" s="99">
        <v>0</v>
      </c>
      <c r="J37" s="39">
        <f>H37*I37/100</f>
        <v>0</v>
      </c>
      <c r="K37" s="89"/>
      <c r="L37" s="3" t="s">
        <v>77</v>
      </c>
      <c r="M37" s="92">
        <f>IFERROR(AVERAGEIF('Contract Comparison Tool'!$D$5:$D$124,"1",'Contract Comparison Tool'!$B$5:$B$124), $B$13)</f>
        <v>870.25</v>
      </c>
      <c r="N37" s="38">
        <f>M37*D37</f>
        <v>0</v>
      </c>
      <c r="O37" s="79">
        <v>0</v>
      </c>
      <c r="P37" s="10">
        <f>(N37*O37/100)</f>
        <v>0</v>
      </c>
      <c r="Q37" s="63"/>
      <c r="R37" s="63"/>
      <c r="S37" s="63"/>
    </row>
    <row r="38" spans="1:19" x14ac:dyDescent="0.35">
      <c r="A38" s="6" t="s">
        <v>78</v>
      </c>
      <c r="B38" s="7">
        <f>'Contract Comparison Tool'!K38</f>
        <v>16</v>
      </c>
      <c r="C38" s="91">
        <v>0</v>
      </c>
      <c r="D38" s="7">
        <f t="shared" si="9"/>
        <v>16</v>
      </c>
      <c r="E38" s="63"/>
      <c r="F38" s="6" t="s">
        <v>78</v>
      </c>
      <c r="G38" s="92">
        <f>IFERROR(AVERAGEIF('Contract Comparison Tool'!$D$5:$D$124,"2",'Contract Comparison Tool'!$B$5:$B$124), $B$13)</f>
        <v>840.1875</v>
      </c>
      <c r="H38" s="3">
        <f>G38*D38</f>
        <v>13443</v>
      </c>
      <c r="I38" s="97">
        <v>0</v>
      </c>
      <c r="J38" s="39">
        <f>H38*I38/100</f>
        <v>0</v>
      </c>
      <c r="K38" s="89"/>
      <c r="L38" s="6" t="s">
        <v>78</v>
      </c>
      <c r="M38" s="92">
        <f>IFERROR(AVERAGEIF('Contract Comparison Tool'!$D$5:$D$124,"2",'Contract Comparison Tool'!$B$5:$B$124), $B$13)</f>
        <v>840.1875</v>
      </c>
      <c r="N38" s="38">
        <f>M38*D38</f>
        <v>13443</v>
      </c>
      <c r="O38" s="75">
        <v>0</v>
      </c>
      <c r="P38" s="10">
        <f>(N38*O38/100)</f>
        <v>0</v>
      </c>
      <c r="Q38" s="63"/>
      <c r="R38" s="63"/>
      <c r="S38" s="63"/>
    </row>
    <row r="39" spans="1:19" x14ac:dyDescent="0.35">
      <c r="A39" s="3" t="s">
        <v>79</v>
      </c>
      <c r="B39" s="7">
        <f>'Contract Comparison Tool'!K39</f>
        <v>20</v>
      </c>
      <c r="C39" s="91">
        <v>0</v>
      </c>
      <c r="D39" s="7">
        <f>B39+C39</f>
        <v>20</v>
      </c>
      <c r="E39" s="63"/>
      <c r="F39" s="3" t="s">
        <v>79</v>
      </c>
      <c r="G39" s="92">
        <f>IFERROR(AVERAGEIF('Contract Comparison Tool'!$D$5:$D$124,"3",'Contract Comparison Tool'!$B$5:$B$124), $B$13)</f>
        <v>894.3</v>
      </c>
      <c r="H39" s="3">
        <f>G39*D39</f>
        <v>17886</v>
      </c>
      <c r="I39" s="97">
        <v>0</v>
      </c>
      <c r="J39" s="39">
        <f>H39*I39/100</f>
        <v>0</v>
      </c>
      <c r="K39" s="89"/>
      <c r="L39" s="3" t="s">
        <v>79</v>
      </c>
      <c r="M39" s="92">
        <f>IFERROR(AVERAGEIF('Contract Comparison Tool'!$D$5:$D$124,"3",'Contract Comparison Tool'!$B$5:$B$124), $B$13)</f>
        <v>894.3</v>
      </c>
      <c r="N39" s="38">
        <f>M39*D39</f>
        <v>17886</v>
      </c>
      <c r="O39" s="75">
        <v>0</v>
      </c>
      <c r="P39" s="10">
        <f>(N39*O39/100)</f>
        <v>0</v>
      </c>
      <c r="Q39" s="63"/>
      <c r="R39" s="63"/>
      <c r="S39" s="63"/>
    </row>
    <row r="40" spans="1:19" x14ac:dyDescent="0.35">
      <c r="A40" s="6" t="s">
        <v>54</v>
      </c>
      <c r="B40" s="7">
        <f>'Contract Comparison Tool'!K40</f>
        <v>0</v>
      </c>
      <c r="C40" s="91">
        <v>0</v>
      </c>
      <c r="D40" s="7">
        <f t="shared" si="9"/>
        <v>0</v>
      </c>
      <c r="E40" s="63"/>
      <c r="F40" s="6" t="s">
        <v>54</v>
      </c>
      <c r="G40" s="92">
        <f>IFERROR(AVERAGEIF('Contract Comparison Tool'!$D$5:$D$124,"4",'Contract Comparison Tool'!$B$5:$B$124), $B$13)</f>
        <v>870.25</v>
      </c>
      <c r="H40" s="3">
        <f>G40*D40</f>
        <v>0</v>
      </c>
      <c r="I40" s="97">
        <v>-10</v>
      </c>
      <c r="J40" s="39">
        <f>H40*I40/100</f>
        <v>0</v>
      </c>
      <c r="K40" s="89"/>
      <c r="L40" s="3" t="s">
        <v>51</v>
      </c>
      <c r="M40" s="92">
        <f>IFERROR(AVERAGEIF('Contract Comparison Tool'!$D$5:$D$124,"4",'Contract Comparison Tool'!$B$5:$B$124), $B$13)</f>
        <v>870.25</v>
      </c>
      <c r="N40" s="38">
        <f>M40*D40</f>
        <v>0</v>
      </c>
      <c r="O40" s="78">
        <v>-10</v>
      </c>
      <c r="P40" s="13">
        <f>IF(((D40/(B8-B9))*100)&gt;5,((((((((D40/(B8-B9))*100)-5)/100)*(B8-B9))*M40)*(O40/100))), 0)</f>
        <v>0</v>
      </c>
      <c r="Q40" s="61"/>
      <c r="R40" s="61"/>
      <c r="S40" s="61"/>
    </row>
    <row r="41" spans="1:19" ht="17" customHeight="1" x14ac:dyDescent="0.35">
      <c r="A41" s="3" t="s">
        <v>49</v>
      </c>
      <c r="B41" s="7">
        <f>'Contract Comparison Tool'!K41</f>
        <v>0</v>
      </c>
      <c r="C41" s="91">
        <v>0</v>
      </c>
      <c r="D41" s="7">
        <f t="shared" si="9"/>
        <v>0</v>
      </c>
      <c r="F41" s="3" t="s">
        <v>49</v>
      </c>
      <c r="G41" s="92">
        <f>IFERROR(AVERAGEIF('Contract Comparison Tool'!$D$5:$D$124,"5",'Contract Comparison Tool'!$B$5:$B$124), $B$13)</f>
        <v>870.25</v>
      </c>
      <c r="H41" s="3">
        <f>G41*D41</f>
        <v>0</v>
      </c>
      <c r="I41" s="97">
        <v>-10</v>
      </c>
      <c r="J41" s="39">
        <f>H41*I41/100</f>
        <v>0</v>
      </c>
      <c r="K41" s="89"/>
      <c r="L41" s="3" t="s">
        <v>49</v>
      </c>
      <c r="M41" s="92">
        <f>IFERROR(AVERAGEIF('Contract Comparison Tool'!$D$5:$D$124,"5",'Contract Comparison Tool'!$B$5:$B$124), $B$13)</f>
        <v>870.25</v>
      </c>
      <c r="N41" s="38">
        <f>M41*D41</f>
        <v>0</v>
      </c>
      <c r="O41" s="75">
        <v>-20</v>
      </c>
      <c r="P41" s="10">
        <f>(N41*O41/100)</f>
        <v>0</v>
      </c>
      <c r="Q41" s="63"/>
      <c r="R41" s="63"/>
      <c r="S41" s="63"/>
    </row>
    <row r="42" spans="1:19" ht="17" customHeight="1" x14ac:dyDescent="0.35">
      <c r="A42" s="105" t="s">
        <v>52</v>
      </c>
      <c r="B42" s="105" t="s">
        <v>70</v>
      </c>
      <c r="C42" s="120" t="s">
        <v>62</v>
      </c>
      <c r="D42" s="120" t="s">
        <v>71</v>
      </c>
      <c r="E42" s="62"/>
      <c r="F42" s="121" t="s">
        <v>52</v>
      </c>
      <c r="G42" s="123" t="s">
        <v>80</v>
      </c>
      <c r="H42" s="111" t="s">
        <v>46</v>
      </c>
      <c r="I42" s="108" t="s">
        <v>63</v>
      </c>
      <c r="J42" s="110" t="s">
        <v>44</v>
      </c>
      <c r="K42" s="88"/>
      <c r="L42" s="121" t="s">
        <v>52</v>
      </c>
      <c r="M42" s="123" t="s">
        <v>80</v>
      </c>
      <c r="N42" s="110" t="s">
        <v>46</v>
      </c>
      <c r="O42" s="108" t="s">
        <v>63</v>
      </c>
      <c r="P42" s="110" t="s">
        <v>44</v>
      </c>
      <c r="Q42" s="61"/>
      <c r="R42" s="61"/>
      <c r="S42" s="61"/>
    </row>
    <row r="43" spans="1:19" ht="14.5" customHeight="1" x14ac:dyDescent="0.35">
      <c r="A43" s="105"/>
      <c r="B43" s="105"/>
      <c r="C43" s="120"/>
      <c r="D43" s="120"/>
      <c r="E43" s="63"/>
      <c r="F43" s="122"/>
      <c r="G43" s="124"/>
      <c r="H43" s="105"/>
      <c r="I43" s="109"/>
      <c r="J43" s="111"/>
      <c r="K43" s="88"/>
      <c r="L43" s="122"/>
      <c r="M43" s="124"/>
      <c r="N43" s="111"/>
      <c r="O43" s="109"/>
      <c r="P43" s="111"/>
      <c r="Q43" s="62"/>
      <c r="R43" s="62"/>
      <c r="S43" s="62"/>
    </row>
    <row r="44" spans="1:19" ht="15.5" customHeight="1" x14ac:dyDescent="0.35">
      <c r="A44" s="6" t="s">
        <v>16</v>
      </c>
      <c r="B44" s="7">
        <f>'Contract Comparison Tool'!K44</f>
        <v>0</v>
      </c>
      <c r="C44" s="91">
        <v>0</v>
      </c>
      <c r="D44" s="7">
        <f t="shared" ref="D44:D48" si="10">B44+C44</f>
        <v>0</v>
      </c>
      <c r="E44" s="63"/>
      <c r="F44" s="6" t="s">
        <v>16</v>
      </c>
      <c r="G44" s="93">
        <f>IFERROR(AVERAGEIF('Contract Comparison Tool'!$H$5:$H$124,"Yes",'Contract Comparison Tool'!$B$5:$B$124), B13)</f>
        <v>870.25</v>
      </c>
      <c r="H44" s="38">
        <f>G44*D44</f>
        <v>0</v>
      </c>
      <c r="I44" s="99">
        <v>-5</v>
      </c>
      <c r="J44" s="41">
        <f>H44*I44/100</f>
        <v>0</v>
      </c>
      <c r="K44" s="89"/>
      <c r="L44" s="6" t="s">
        <v>16</v>
      </c>
      <c r="M44" s="93">
        <f>IFERROR(AVERAGEIF('Contract Comparison Tool'!$H$5:$H$124,"Yes",'Contract Comparison Tool'!$B$5:$B$124), B13)</f>
        <v>870.25</v>
      </c>
      <c r="N44" s="38">
        <f>M44*D44</f>
        <v>0</v>
      </c>
      <c r="O44" s="79">
        <v>-5</v>
      </c>
      <c r="P44" s="16">
        <f>(N44*O44/100)</f>
        <v>0</v>
      </c>
      <c r="Q44" s="62"/>
      <c r="R44" s="62"/>
      <c r="S44" s="62"/>
    </row>
    <row r="45" spans="1:19" x14ac:dyDescent="0.35">
      <c r="A45" s="6" t="s">
        <v>19</v>
      </c>
      <c r="B45" s="7">
        <f>'Contract Comparison Tool'!K45</f>
        <v>0</v>
      </c>
      <c r="C45" s="91">
        <v>0</v>
      </c>
      <c r="D45" s="7">
        <f t="shared" si="10"/>
        <v>0</v>
      </c>
      <c r="E45" s="63"/>
      <c r="F45" s="6" t="s">
        <v>19</v>
      </c>
      <c r="G45" s="94">
        <f>IFERROR(AVERAGEIF('Contract Comparison Tool'!$E$5:$E$124,"1", 'Contract Comparison Tool'!$B$5:$B$124), $B$13)</f>
        <v>870.25</v>
      </c>
      <c r="H45" s="38">
        <f>G45*D45</f>
        <v>0</v>
      </c>
      <c r="I45" s="97">
        <v>0</v>
      </c>
      <c r="J45" s="41">
        <f t="shared" ref="J45:J48" si="11">H45*I45/100</f>
        <v>0</v>
      </c>
      <c r="K45" s="89"/>
      <c r="L45" s="6" t="s">
        <v>19</v>
      </c>
      <c r="M45" s="94">
        <f>IFERROR(AVERAGEIF('Contract Comparison Tool'!$E$5:$E$124,"1", 'Contract Comparison Tool'!$B$5:$B$124), $B$13)</f>
        <v>870.25</v>
      </c>
      <c r="N45" s="38">
        <f>M45*D45</f>
        <v>0</v>
      </c>
      <c r="O45" s="75">
        <v>0</v>
      </c>
      <c r="P45" s="10">
        <f>N45*O45/100</f>
        <v>0</v>
      </c>
      <c r="Q45" s="61"/>
      <c r="R45" s="61"/>
      <c r="S45" s="61"/>
    </row>
    <row r="46" spans="1:19" x14ac:dyDescent="0.35">
      <c r="A46" s="6" t="s">
        <v>20</v>
      </c>
      <c r="B46" s="7">
        <f>'Contract Comparison Tool'!K46</f>
        <v>0</v>
      </c>
      <c r="C46" s="91">
        <v>0</v>
      </c>
      <c r="D46" s="7">
        <f t="shared" si="10"/>
        <v>0</v>
      </c>
      <c r="E46" s="63"/>
      <c r="F46" s="6" t="s">
        <v>20</v>
      </c>
      <c r="G46" s="94">
        <f>IFERROR(AVERAGEIF('Contract Comparison Tool'!$E$5:$E$124,"2", 'Contract Comparison Tool'!$B$5:$B$124), $B$13)</f>
        <v>870.25</v>
      </c>
      <c r="H46" s="38">
        <f>G46*D46</f>
        <v>0</v>
      </c>
      <c r="I46" s="97">
        <v>0</v>
      </c>
      <c r="J46" s="41">
        <f t="shared" si="11"/>
        <v>0</v>
      </c>
      <c r="K46" s="89"/>
      <c r="L46" s="6" t="s">
        <v>20</v>
      </c>
      <c r="M46" s="94">
        <f>IFERROR(AVERAGEIF('Contract Comparison Tool'!$E$5:$E$124,"2", 'Contract Comparison Tool'!$B$5:$B$124), $B$13)</f>
        <v>870.25</v>
      </c>
      <c r="N46" s="38">
        <f>M46*D46</f>
        <v>0</v>
      </c>
      <c r="O46" s="75">
        <v>0</v>
      </c>
      <c r="P46" s="10">
        <f>N46*O46/100</f>
        <v>0</v>
      </c>
      <c r="Q46" s="63"/>
      <c r="R46" s="63"/>
      <c r="S46" s="63"/>
    </row>
    <row r="47" spans="1:19" x14ac:dyDescent="0.35">
      <c r="A47" s="6" t="s">
        <v>21</v>
      </c>
      <c r="B47" s="7">
        <f>'Contract Comparison Tool'!K47</f>
        <v>0</v>
      </c>
      <c r="C47" s="91">
        <v>0</v>
      </c>
      <c r="D47" s="7">
        <f t="shared" si="10"/>
        <v>0</v>
      </c>
      <c r="E47" s="63"/>
      <c r="F47" s="6" t="s">
        <v>21</v>
      </c>
      <c r="G47" s="94">
        <f>IFERROR(AVERAGEIF('Contract Comparison Tool'!$E$5:$E$124,"3", 'Contract Comparison Tool'!$B$5:$B$124), $B$13)</f>
        <v>870.25</v>
      </c>
      <c r="H47" s="38">
        <f>G47*D47</f>
        <v>0</v>
      </c>
      <c r="I47" s="97">
        <v>-3</v>
      </c>
      <c r="J47" s="41">
        <f t="shared" si="11"/>
        <v>0</v>
      </c>
      <c r="K47" s="89"/>
      <c r="L47" s="6" t="s">
        <v>21</v>
      </c>
      <c r="M47" s="94">
        <f>IFERROR(AVERAGEIF('Contract Comparison Tool'!$E$5:$E$124,"3", 'Contract Comparison Tool'!$B$5:$B$124), $B$13)</f>
        <v>870.25</v>
      </c>
      <c r="N47" s="38">
        <f>M47*D47</f>
        <v>0</v>
      </c>
      <c r="O47" s="75">
        <v>0</v>
      </c>
      <c r="P47" s="10">
        <f>N47*O47/100</f>
        <v>0</v>
      </c>
      <c r="Q47" s="63"/>
      <c r="R47" s="63"/>
      <c r="S47" s="63"/>
    </row>
    <row r="48" spans="1:19" x14ac:dyDescent="0.35">
      <c r="A48" s="6" t="s">
        <v>22</v>
      </c>
      <c r="B48" s="7">
        <f>'Contract Comparison Tool'!K48</f>
        <v>0</v>
      </c>
      <c r="C48" s="91">
        <v>0</v>
      </c>
      <c r="D48" s="7">
        <f t="shared" si="10"/>
        <v>0</v>
      </c>
      <c r="F48" s="6" t="s">
        <v>22</v>
      </c>
      <c r="G48" s="94">
        <f>IFERROR(AVERAGEIF('Contract Comparison Tool'!$E$5:$E$124,"4", 'Contract Comparison Tool'!$B$5:$B$124), $B$13)</f>
        <v>870.25</v>
      </c>
      <c r="H48" s="38">
        <f>G48*D48</f>
        <v>0</v>
      </c>
      <c r="I48" s="97">
        <v>-10</v>
      </c>
      <c r="J48" s="41">
        <f t="shared" si="11"/>
        <v>0</v>
      </c>
      <c r="K48" s="89"/>
      <c r="L48" s="6" t="s">
        <v>22</v>
      </c>
      <c r="M48" s="94">
        <f>IFERROR(AVERAGEIF('Contract Comparison Tool'!$E$5:$E$124,"4", 'Contract Comparison Tool'!$B$5:$B$124), $B$13)</f>
        <v>870.25</v>
      </c>
      <c r="N48" s="38">
        <f>M48*D48</f>
        <v>0</v>
      </c>
      <c r="O48" s="75">
        <v>0</v>
      </c>
      <c r="P48" s="10">
        <f>N48*O48/100</f>
        <v>0</v>
      </c>
      <c r="Q48" s="63"/>
      <c r="R48" s="63"/>
      <c r="S48" s="63"/>
    </row>
    <row r="49" spans="1:19" x14ac:dyDescent="0.35">
      <c r="A49" s="51"/>
      <c r="B49" s="51"/>
      <c r="C49" s="87"/>
      <c r="D49" s="51"/>
      <c r="E49" s="62"/>
      <c r="F49" s="51"/>
      <c r="G49" s="51"/>
      <c r="H49" s="51"/>
      <c r="I49" s="71"/>
      <c r="J49" s="51"/>
      <c r="K49" s="86"/>
      <c r="L49" s="51"/>
      <c r="M49" s="51"/>
      <c r="N49" s="2"/>
      <c r="O49" s="2"/>
      <c r="P49" s="8"/>
      <c r="Q49" s="63"/>
      <c r="R49" s="63"/>
      <c r="S49" s="63"/>
    </row>
    <row r="50" spans="1:19" ht="17" x14ac:dyDescent="0.4">
      <c r="A50" s="51"/>
      <c r="B50" s="51"/>
      <c r="C50" s="63"/>
      <c r="D50" s="62"/>
      <c r="E50" s="66"/>
      <c r="F50" s="51"/>
      <c r="G50" s="51"/>
      <c r="H50" s="106" t="s">
        <v>38</v>
      </c>
      <c r="I50" s="107"/>
      <c r="J50" s="23" t="s">
        <v>44</v>
      </c>
      <c r="K50" s="88"/>
      <c r="L50" s="67"/>
      <c r="M50" s="51"/>
      <c r="N50" s="106" t="s">
        <v>39</v>
      </c>
      <c r="O50" s="107"/>
      <c r="P50" s="23" t="s">
        <v>44</v>
      </c>
    </row>
    <row r="51" spans="1:19" x14ac:dyDescent="0.35">
      <c r="A51" s="51"/>
      <c r="B51" s="51"/>
      <c r="C51" s="63"/>
      <c r="D51" s="61"/>
      <c r="E51" s="66"/>
      <c r="F51" s="71"/>
      <c r="G51" s="71"/>
      <c r="H51" s="113" t="s">
        <v>59</v>
      </c>
      <c r="I51" s="113"/>
      <c r="J51" s="10">
        <f>G12*B12/100</f>
        <v>53361.182926829264</v>
      </c>
      <c r="K51" s="89"/>
      <c r="L51" s="51"/>
      <c r="M51" s="51"/>
      <c r="N51" s="134" t="s">
        <v>59</v>
      </c>
      <c r="O51" s="135"/>
      <c r="P51" s="10">
        <f>M12*B12/100</f>
        <v>51744.209016393441</v>
      </c>
      <c r="Q51" s="62"/>
      <c r="R51" s="62"/>
      <c r="S51" s="62"/>
    </row>
    <row r="52" spans="1:19" ht="15.5" customHeight="1" x14ac:dyDescent="0.35">
      <c r="A52" s="51"/>
      <c r="B52" s="51"/>
      <c r="C52" s="61"/>
      <c r="D52" s="61"/>
      <c r="E52" s="66"/>
      <c r="F52" s="71"/>
      <c r="G52" s="71"/>
      <c r="H52" s="113" t="s">
        <v>61</v>
      </c>
      <c r="I52" s="113"/>
      <c r="J52" s="10">
        <f>SUM(J18:J25)</f>
        <v>-239.85000000000002</v>
      </c>
      <c r="K52" s="89"/>
      <c r="L52" s="66"/>
      <c r="M52" s="51"/>
      <c r="N52" s="134" t="s">
        <v>61</v>
      </c>
      <c r="O52" s="135"/>
      <c r="P52" s="10">
        <f>SUM(P18:P25)</f>
        <v>-412.20000000000005</v>
      </c>
      <c r="Q52" s="61"/>
      <c r="R52" s="61"/>
      <c r="S52" s="61"/>
    </row>
    <row r="53" spans="1:19" x14ac:dyDescent="0.35">
      <c r="A53" s="51"/>
      <c r="B53" s="51"/>
      <c r="C53" s="51"/>
      <c r="D53" s="51"/>
      <c r="E53" s="66"/>
      <c r="F53" s="71"/>
      <c r="G53" s="71"/>
      <c r="H53" s="113" t="s">
        <v>60</v>
      </c>
      <c r="I53" s="113"/>
      <c r="J53" s="10">
        <f>J28+J30+J31+J32+J33+J34+J41+J40</f>
        <v>-1559.7750000000001</v>
      </c>
      <c r="K53" s="89"/>
      <c r="L53" s="66"/>
      <c r="M53" s="51"/>
      <c r="N53" s="134" t="s">
        <v>60</v>
      </c>
      <c r="O53" s="135"/>
      <c r="P53" s="10">
        <f>P28+P40+P41+P44</f>
        <v>-380.04949999999997</v>
      </c>
      <c r="Q53" s="61"/>
      <c r="R53" s="61"/>
      <c r="S53" s="61"/>
    </row>
    <row r="54" spans="1:19" x14ac:dyDescent="0.35">
      <c r="A54" s="51"/>
      <c r="B54" s="51"/>
      <c r="C54" s="51"/>
      <c r="D54" s="51"/>
      <c r="E54" s="66"/>
      <c r="F54" s="71"/>
      <c r="G54" s="71"/>
      <c r="H54" s="115" t="s">
        <v>58</v>
      </c>
      <c r="I54" s="115"/>
      <c r="J54" s="10" cm="1">
        <f t="array" ref="J54">_xlfn.IFS(G8&lt;0,((G11/100)*G8),G8&gt;0,((G13-G11)/100)*G8)</f>
        <v>-102.95100000000006</v>
      </c>
      <c r="K54" s="89"/>
      <c r="L54" s="73"/>
      <c r="M54" s="51"/>
      <c r="N54" s="118" t="s">
        <v>58</v>
      </c>
      <c r="O54" s="119"/>
      <c r="P54" s="10" cm="1">
        <f t="array" ref="P54">_xlfn.IFS(M8&lt;0,((M11/100)*M8),M8&gt;0,((M13-M11)/100)*M8)</f>
        <v>-53.751000000000055</v>
      </c>
      <c r="Q54" s="61"/>
      <c r="R54" s="61"/>
      <c r="S54" s="61"/>
    </row>
    <row r="55" spans="1:19" x14ac:dyDescent="0.35">
      <c r="A55" s="51"/>
      <c r="B55" s="51"/>
      <c r="C55" s="51"/>
      <c r="D55" s="51"/>
      <c r="E55" s="67"/>
      <c r="F55" s="71"/>
      <c r="G55" s="71"/>
      <c r="H55" s="118" t="s">
        <v>89</v>
      </c>
      <c r="I55" s="119"/>
      <c r="J55" s="75">
        <v>0</v>
      </c>
      <c r="K55" s="89"/>
      <c r="L55" s="73"/>
      <c r="M55" s="51"/>
      <c r="N55" s="118" t="s">
        <v>89</v>
      </c>
      <c r="O55" s="119"/>
      <c r="P55" s="10">
        <f>J55</f>
        <v>0</v>
      </c>
      <c r="Q55" s="61"/>
      <c r="R55" s="61"/>
      <c r="S55" s="61"/>
    </row>
    <row r="56" spans="1:19" x14ac:dyDescent="0.35">
      <c r="A56" s="51"/>
      <c r="B56" s="51"/>
      <c r="C56" s="51"/>
      <c r="D56" s="51"/>
      <c r="E56" s="68"/>
      <c r="F56" s="71"/>
      <c r="G56" s="71"/>
      <c r="H56" s="115" t="s">
        <v>27</v>
      </c>
      <c r="I56" s="115"/>
      <c r="J56" s="10">
        <f>-1*B8</f>
        <v>-36</v>
      </c>
      <c r="K56" s="89"/>
      <c r="L56" s="66"/>
      <c r="M56" s="51"/>
      <c r="N56" s="118" t="s">
        <v>27</v>
      </c>
      <c r="O56" s="119"/>
      <c r="P56" s="10">
        <f>-1*B8</f>
        <v>-36</v>
      </c>
      <c r="Q56" s="61"/>
      <c r="R56" s="61"/>
      <c r="S56" s="61"/>
    </row>
    <row r="57" spans="1:19" x14ac:dyDescent="0.35">
      <c r="A57" s="51"/>
      <c r="B57" s="51"/>
      <c r="C57" s="51"/>
      <c r="D57" s="51"/>
      <c r="F57" s="51"/>
      <c r="G57" s="51"/>
      <c r="H57" s="116" t="s">
        <v>56</v>
      </c>
      <c r="I57" s="116"/>
      <c r="J57" s="17">
        <f>SUM(J51:J56)</f>
        <v>51422.606926829263</v>
      </c>
      <c r="K57" s="89"/>
      <c r="L57" s="74"/>
      <c r="M57" s="51"/>
      <c r="N57" s="132" t="s">
        <v>56</v>
      </c>
      <c r="O57" s="133"/>
      <c r="P57" s="17">
        <f>SUM(P51:P56)</f>
        <v>50862.208516393446</v>
      </c>
      <c r="Q57" s="61"/>
      <c r="R57" s="61"/>
      <c r="S57" s="61"/>
    </row>
    <row r="58" spans="1:19" x14ac:dyDescent="0.35">
      <c r="A58" s="51"/>
      <c r="B58" s="51"/>
      <c r="C58" s="51"/>
      <c r="D58" s="51"/>
      <c r="F58" s="51"/>
      <c r="G58" s="51"/>
      <c r="I58" s="2"/>
      <c r="J58" s="2"/>
      <c r="K58" s="86"/>
      <c r="L58" s="51"/>
      <c r="M58" s="51"/>
      <c r="N58" s="51"/>
      <c r="O58" s="51"/>
      <c r="P58" s="61"/>
    </row>
    <row r="59" spans="1:19" ht="17" x14ac:dyDescent="0.4">
      <c r="A59" s="51"/>
      <c r="B59" s="51"/>
      <c r="C59" s="51"/>
      <c r="D59" s="51"/>
      <c r="F59" s="51"/>
      <c r="G59" s="51"/>
      <c r="H59" s="105" t="s">
        <v>55</v>
      </c>
      <c r="I59" s="105"/>
      <c r="J59" s="22" t="s">
        <v>44</v>
      </c>
      <c r="K59" s="86"/>
      <c r="L59" s="51"/>
      <c r="M59" s="51"/>
      <c r="N59" s="51"/>
      <c r="O59" s="51"/>
      <c r="P59" s="61"/>
    </row>
    <row r="60" spans="1:19" x14ac:dyDescent="0.35">
      <c r="A60" s="51"/>
      <c r="B60" s="51"/>
      <c r="C60" s="51"/>
      <c r="D60" s="51"/>
      <c r="F60" s="51"/>
      <c r="G60" s="51"/>
      <c r="H60" s="113" t="s">
        <v>56</v>
      </c>
      <c r="I60" s="113"/>
      <c r="J60" s="17">
        <f>J57-P57</f>
        <v>560.39841043581691</v>
      </c>
      <c r="K60" s="86"/>
      <c r="L60" s="51"/>
      <c r="M60" s="51"/>
      <c r="N60" s="51"/>
      <c r="O60" s="51"/>
      <c r="P60" s="51"/>
    </row>
    <row r="61" spans="1:19" x14ac:dyDescent="0.35">
      <c r="A61" s="51"/>
      <c r="B61" s="51"/>
      <c r="C61" s="51"/>
      <c r="D61" s="51"/>
      <c r="F61" s="51"/>
      <c r="G61" s="51"/>
      <c r="H61" s="113" t="s">
        <v>57</v>
      </c>
      <c r="I61" s="113"/>
      <c r="J61" s="17">
        <f>J60/B8</f>
        <v>15.566622512106026</v>
      </c>
      <c r="K61" s="86"/>
      <c r="L61" s="51"/>
      <c r="M61" s="51"/>
      <c r="N61" s="51"/>
      <c r="O61" s="51"/>
      <c r="P61" s="51"/>
    </row>
    <row r="62" spans="1:19" s="51" customFormat="1" x14ac:dyDescent="0.35">
      <c r="K62" s="86"/>
    </row>
    <row r="63" spans="1:19" s="51" customFormat="1" x14ac:dyDescent="0.35">
      <c r="K63" s="86"/>
    </row>
    <row r="64" spans="1:19" s="51" customFormat="1" x14ac:dyDescent="0.35">
      <c r="K64" s="86"/>
    </row>
    <row r="65" spans="11:11" s="51" customFormat="1" x14ac:dyDescent="0.35">
      <c r="K65" s="86"/>
    </row>
    <row r="66" spans="11:11" s="51" customFormat="1" x14ac:dyDescent="0.35">
      <c r="K66" s="86"/>
    </row>
    <row r="67" spans="11:11" s="51" customFormat="1" x14ac:dyDescent="0.35">
      <c r="K67" s="86"/>
    </row>
    <row r="68" spans="11:11" s="51" customFormat="1" x14ac:dyDescent="0.35">
      <c r="K68" s="86"/>
    </row>
    <row r="69" spans="11:11" s="51" customFormat="1" x14ac:dyDescent="0.35">
      <c r="K69" s="86"/>
    </row>
    <row r="70" spans="11:11" s="51" customFormat="1" x14ac:dyDescent="0.35">
      <c r="K70" s="86"/>
    </row>
    <row r="71" spans="11:11" s="51" customFormat="1" x14ac:dyDescent="0.35">
      <c r="K71" s="86"/>
    </row>
    <row r="72" spans="11:11" s="51" customFormat="1" x14ac:dyDescent="0.35">
      <c r="K72" s="86"/>
    </row>
    <row r="73" spans="11:11" s="51" customFormat="1" x14ac:dyDescent="0.35">
      <c r="K73" s="86"/>
    </row>
    <row r="74" spans="11:11" s="51" customFormat="1" x14ac:dyDescent="0.35">
      <c r="K74" s="86"/>
    </row>
    <row r="75" spans="11:11" s="51" customFormat="1" x14ac:dyDescent="0.35">
      <c r="K75" s="86"/>
    </row>
    <row r="76" spans="11:11" s="51" customFormat="1" x14ac:dyDescent="0.35">
      <c r="K76" s="86"/>
    </row>
    <row r="77" spans="11:11" s="51" customFormat="1" x14ac:dyDescent="0.35">
      <c r="K77" s="86"/>
    </row>
    <row r="78" spans="11:11" s="51" customFormat="1" x14ac:dyDescent="0.35">
      <c r="K78" s="86"/>
    </row>
    <row r="79" spans="11:11" s="51" customFormat="1" x14ac:dyDescent="0.35">
      <c r="K79" s="86"/>
    </row>
    <row r="80" spans="11:11" s="51" customFormat="1" x14ac:dyDescent="0.35">
      <c r="K80" s="86"/>
    </row>
    <row r="81" spans="11:11" s="51" customFormat="1" x14ac:dyDescent="0.35">
      <c r="K81" s="86"/>
    </row>
    <row r="82" spans="11:11" s="51" customFormat="1" x14ac:dyDescent="0.35">
      <c r="K82" s="86"/>
    </row>
    <row r="83" spans="11:11" s="51" customFormat="1" x14ac:dyDescent="0.35">
      <c r="K83" s="86"/>
    </row>
    <row r="84" spans="11:11" s="51" customFormat="1" x14ac:dyDescent="0.35">
      <c r="K84" s="86"/>
    </row>
    <row r="85" spans="11:11" s="51" customFormat="1" x14ac:dyDescent="0.35">
      <c r="K85" s="86"/>
    </row>
    <row r="86" spans="11:11" s="51" customFormat="1" x14ac:dyDescent="0.35">
      <c r="K86" s="86"/>
    </row>
    <row r="87" spans="11:11" s="51" customFormat="1" x14ac:dyDescent="0.35">
      <c r="K87" s="86"/>
    </row>
    <row r="88" spans="11:11" s="51" customFormat="1" x14ac:dyDescent="0.35">
      <c r="K88" s="86"/>
    </row>
    <row r="89" spans="11:11" s="51" customFormat="1" x14ac:dyDescent="0.35">
      <c r="K89" s="86"/>
    </row>
    <row r="90" spans="11:11" s="51" customFormat="1" x14ac:dyDescent="0.35">
      <c r="K90" s="86"/>
    </row>
    <row r="91" spans="11:11" s="51" customFormat="1" x14ac:dyDescent="0.35">
      <c r="K91" s="86"/>
    </row>
    <row r="92" spans="11:11" s="51" customFormat="1" x14ac:dyDescent="0.35">
      <c r="K92" s="86"/>
    </row>
    <row r="93" spans="11:11" s="51" customFormat="1" x14ac:dyDescent="0.35">
      <c r="K93" s="86"/>
    </row>
    <row r="94" spans="11:11" s="51" customFormat="1" x14ac:dyDescent="0.35">
      <c r="K94" s="86"/>
    </row>
    <row r="95" spans="11:11" s="51" customFormat="1" x14ac:dyDescent="0.35">
      <c r="K95" s="86"/>
    </row>
    <row r="96" spans="11:11" s="51" customFormat="1" x14ac:dyDescent="0.35">
      <c r="K96" s="86"/>
    </row>
    <row r="97" spans="11:11" s="51" customFormat="1" x14ac:dyDescent="0.35">
      <c r="K97" s="86"/>
    </row>
    <row r="98" spans="11:11" s="51" customFormat="1" x14ac:dyDescent="0.35">
      <c r="K98" s="86"/>
    </row>
    <row r="99" spans="11:11" s="51" customFormat="1" x14ac:dyDescent="0.35">
      <c r="K99" s="86"/>
    </row>
    <row r="100" spans="11:11" s="51" customFormat="1" x14ac:dyDescent="0.35">
      <c r="K100" s="86"/>
    </row>
    <row r="101" spans="11:11" s="51" customFormat="1" x14ac:dyDescent="0.35">
      <c r="K101" s="86"/>
    </row>
    <row r="102" spans="11:11" s="51" customFormat="1" x14ac:dyDescent="0.35">
      <c r="K102" s="86"/>
    </row>
    <row r="103" spans="11:11" s="51" customFormat="1" x14ac:dyDescent="0.35">
      <c r="K103" s="86"/>
    </row>
    <row r="104" spans="11:11" s="51" customFormat="1" x14ac:dyDescent="0.35">
      <c r="K104" s="86"/>
    </row>
    <row r="105" spans="11:11" s="51" customFormat="1" x14ac:dyDescent="0.35">
      <c r="K105" s="86"/>
    </row>
    <row r="106" spans="11:11" s="51" customFormat="1" x14ac:dyDescent="0.35">
      <c r="K106" s="86"/>
    </row>
    <row r="107" spans="11:11" s="51" customFormat="1" x14ac:dyDescent="0.35">
      <c r="K107" s="86"/>
    </row>
    <row r="108" spans="11:11" s="51" customFormat="1" x14ac:dyDescent="0.35">
      <c r="K108" s="86"/>
    </row>
    <row r="109" spans="11:11" s="51" customFormat="1" x14ac:dyDescent="0.35">
      <c r="K109" s="86"/>
    </row>
    <row r="110" spans="11:11" s="51" customFormat="1" x14ac:dyDescent="0.35">
      <c r="K110" s="86"/>
    </row>
    <row r="111" spans="11:11" s="51" customFormat="1" x14ac:dyDescent="0.35">
      <c r="K111" s="86"/>
    </row>
    <row r="112" spans="11:11" s="51" customFormat="1" x14ac:dyDescent="0.35">
      <c r="K112" s="86"/>
    </row>
    <row r="113" spans="11:11" s="51" customFormat="1" x14ac:dyDescent="0.35">
      <c r="K113" s="86"/>
    </row>
    <row r="114" spans="11:11" s="51" customFormat="1" x14ac:dyDescent="0.35">
      <c r="K114" s="86"/>
    </row>
    <row r="115" spans="11:11" s="51" customFormat="1" x14ac:dyDescent="0.35">
      <c r="K115" s="86"/>
    </row>
    <row r="116" spans="11:11" s="51" customFormat="1" x14ac:dyDescent="0.35">
      <c r="K116" s="86"/>
    </row>
    <row r="117" spans="11:11" s="51" customFormat="1" x14ac:dyDescent="0.35">
      <c r="K117" s="86"/>
    </row>
    <row r="118" spans="11:11" s="51" customFormat="1" x14ac:dyDescent="0.35">
      <c r="K118" s="86"/>
    </row>
    <row r="119" spans="11:11" s="51" customFormat="1" x14ac:dyDescent="0.35">
      <c r="K119" s="86"/>
    </row>
    <row r="120" spans="11:11" s="51" customFormat="1" x14ac:dyDescent="0.35">
      <c r="K120" s="86"/>
    </row>
    <row r="121" spans="11:11" s="51" customFormat="1" x14ac:dyDescent="0.35">
      <c r="K121" s="86"/>
    </row>
    <row r="122" spans="11:11" s="51" customFormat="1" x14ac:dyDescent="0.35">
      <c r="K122" s="86"/>
    </row>
    <row r="123" spans="11:11" s="51" customFormat="1" x14ac:dyDescent="0.35">
      <c r="K123" s="86"/>
    </row>
    <row r="124" spans="11:11" s="51" customFormat="1" x14ac:dyDescent="0.35">
      <c r="K124" s="86"/>
    </row>
    <row r="125" spans="11:11" s="51" customFormat="1" x14ac:dyDescent="0.35">
      <c r="K125" s="86"/>
    </row>
    <row r="126" spans="11:11" s="51" customFormat="1" x14ac:dyDescent="0.35">
      <c r="K126" s="86"/>
    </row>
    <row r="127" spans="11:11" s="51" customFormat="1" x14ac:dyDescent="0.35">
      <c r="K127" s="86"/>
    </row>
    <row r="128" spans="11:11" s="51" customFormat="1" x14ac:dyDescent="0.35">
      <c r="K128" s="86"/>
    </row>
    <row r="129" spans="11:11" s="51" customFormat="1" x14ac:dyDescent="0.35">
      <c r="K129" s="86"/>
    </row>
    <row r="130" spans="11:11" s="51" customFormat="1" x14ac:dyDescent="0.35">
      <c r="K130" s="86"/>
    </row>
    <row r="131" spans="11:11" s="51" customFormat="1" x14ac:dyDescent="0.35">
      <c r="K131" s="86"/>
    </row>
    <row r="132" spans="11:11" s="51" customFormat="1" x14ac:dyDescent="0.35">
      <c r="K132" s="86"/>
    </row>
    <row r="133" spans="11:11" s="51" customFormat="1" x14ac:dyDescent="0.35">
      <c r="K133" s="86"/>
    </row>
    <row r="134" spans="11:11" s="51" customFormat="1" x14ac:dyDescent="0.35">
      <c r="K134" s="86"/>
    </row>
    <row r="135" spans="11:11" s="51" customFormat="1" x14ac:dyDescent="0.35">
      <c r="K135" s="86"/>
    </row>
    <row r="136" spans="11:11" s="51" customFormat="1" x14ac:dyDescent="0.35">
      <c r="K136" s="86"/>
    </row>
    <row r="137" spans="11:11" s="51" customFormat="1" x14ac:dyDescent="0.35">
      <c r="K137" s="86"/>
    </row>
    <row r="138" spans="11:11" s="51" customFormat="1" x14ac:dyDescent="0.35">
      <c r="K138" s="86"/>
    </row>
    <row r="139" spans="11:11" s="51" customFormat="1" x14ac:dyDescent="0.35">
      <c r="K139" s="86"/>
    </row>
    <row r="140" spans="11:11" s="51" customFormat="1" x14ac:dyDescent="0.35">
      <c r="K140" s="86"/>
    </row>
    <row r="141" spans="11:11" s="51" customFormat="1" x14ac:dyDescent="0.35">
      <c r="K141" s="86"/>
    </row>
    <row r="142" spans="11:11" s="51" customFormat="1" x14ac:dyDescent="0.35">
      <c r="K142" s="86"/>
    </row>
    <row r="143" spans="11:11" s="51" customFormat="1" x14ac:dyDescent="0.35">
      <c r="K143" s="86"/>
    </row>
    <row r="144" spans="11:11" s="51" customFormat="1" x14ac:dyDescent="0.35">
      <c r="K144" s="86"/>
    </row>
    <row r="145" spans="11:11" s="51" customFormat="1" x14ac:dyDescent="0.35">
      <c r="K145" s="86"/>
    </row>
    <row r="146" spans="11:11" s="51" customFormat="1" x14ac:dyDescent="0.35">
      <c r="K146" s="86"/>
    </row>
    <row r="147" spans="11:11" s="51" customFormat="1" x14ac:dyDescent="0.35">
      <c r="K147" s="86"/>
    </row>
    <row r="148" spans="11:11" s="51" customFormat="1" x14ac:dyDescent="0.35">
      <c r="K148" s="86"/>
    </row>
    <row r="149" spans="11:11" s="51" customFormat="1" x14ac:dyDescent="0.35">
      <c r="K149" s="86"/>
    </row>
    <row r="150" spans="11:11" s="51" customFormat="1" x14ac:dyDescent="0.35">
      <c r="K150" s="86"/>
    </row>
    <row r="151" spans="11:11" s="51" customFormat="1" x14ac:dyDescent="0.35">
      <c r="K151" s="86"/>
    </row>
    <row r="152" spans="11:11" s="51" customFormat="1" x14ac:dyDescent="0.35">
      <c r="K152" s="86"/>
    </row>
    <row r="153" spans="11:11" s="51" customFormat="1" x14ac:dyDescent="0.35">
      <c r="K153" s="86"/>
    </row>
    <row r="154" spans="11:11" s="51" customFormat="1" x14ac:dyDescent="0.35">
      <c r="K154" s="86"/>
    </row>
    <row r="155" spans="11:11" s="51" customFormat="1" x14ac:dyDescent="0.35">
      <c r="K155" s="86"/>
    </row>
    <row r="156" spans="11:11" s="51" customFormat="1" x14ac:dyDescent="0.35">
      <c r="K156" s="86"/>
    </row>
    <row r="157" spans="11:11" s="51" customFormat="1" x14ac:dyDescent="0.35">
      <c r="K157" s="86"/>
    </row>
    <row r="158" spans="11:11" s="51" customFormat="1" x14ac:dyDescent="0.35">
      <c r="K158" s="86"/>
    </row>
    <row r="159" spans="11:11" s="51" customFormat="1" x14ac:dyDescent="0.35">
      <c r="K159" s="86"/>
    </row>
    <row r="160" spans="11:11" s="51" customFormat="1" x14ac:dyDescent="0.35">
      <c r="K160" s="86"/>
    </row>
    <row r="161" spans="11:11" s="51" customFormat="1" x14ac:dyDescent="0.35">
      <c r="K161" s="86"/>
    </row>
    <row r="162" spans="11:11" s="51" customFormat="1" x14ac:dyDescent="0.35">
      <c r="K162" s="86"/>
    </row>
    <row r="163" spans="11:11" s="51" customFormat="1" x14ac:dyDescent="0.35">
      <c r="K163" s="86"/>
    </row>
    <row r="164" spans="11:11" s="51" customFormat="1" x14ac:dyDescent="0.35">
      <c r="K164" s="86"/>
    </row>
    <row r="165" spans="11:11" s="51" customFormat="1" x14ac:dyDescent="0.35">
      <c r="K165" s="86"/>
    </row>
    <row r="166" spans="11:11" s="51" customFormat="1" x14ac:dyDescent="0.35">
      <c r="K166" s="86"/>
    </row>
    <row r="167" spans="11:11" s="51" customFormat="1" x14ac:dyDescent="0.35">
      <c r="K167" s="86"/>
    </row>
    <row r="168" spans="11:11" s="51" customFormat="1" x14ac:dyDescent="0.35">
      <c r="K168" s="86"/>
    </row>
    <row r="169" spans="11:11" s="51" customFormat="1" x14ac:dyDescent="0.35">
      <c r="K169" s="86"/>
    </row>
    <row r="170" spans="11:11" s="51" customFormat="1" x14ac:dyDescent="0.35">
      <c r="K170" s="86"/>
    </row>
    <row r="171" spans="11:11" s="51" customFormat="1" x14ac:dyDescent="0.35">
      <c r="K171" s="86"/>
    </row>
    <row r="172" spans="11:11" s="51" customFormat="1" x14ac:dyDescent="0.35">
      <c r="K172" s="86"/>
    </row>
    <row r="173" spans="11:11" s="51" customFormat="1" x14ac:dyDescent="0.35">
      <c r="K173" s="86"/>
    </row>
    <row r="174" spans="11:11" s="51" customFormat="1" x14ac:dyDescent="0.35">
      <c r="K174" s="86"/>
    </row>
    <row r="175" spans="11:11" s="51" customFormat="1" x14ac:dyDescent="0.35">
      <c r="K175" s="86"/>
    </row>
    <row r="176" spans="11:11" s="51" customFormat="1" x14ac:dyDescent="0.35">
      <c r="K176" s="86"/>
    </row>
    <row r="177" spans="11:11" s="51" customFormat="1" x14ac:dyDescent="0.35">
      <c r="K177" s="86"/>
    </row>
    <row r="178" spans="11:11" s="51" customFormat="1" x14ac:dyDescent="0.35">
      <c r="K178" s="86"/>
    </row>
    <row r="179" spans="11:11" s="51" customFormat="1" x14ac:dyDescent="0.35">
      <c r="K179" s="86"/>
    </row>
    <row r="180" spans="11:11" s="51" customFormat="1" x14ac:dyDescent="0.35">
      <c r="K180" s="86"/>
    </row>
    <row r="181" spans="11:11" s="51" customFormat="1" x14ac:dyDescent="0.35">
      <c r="K181" s="86"/>
    </row>
    <row r="182" spans="11:11" s="51" customFormat="1" x14ac:dyDescent="0.35">
      <c r="K182" s="86"/>
    </row>
    <row r="183" spans="11:11" s="51" customFormat="1" x14ac:dyDescent="0.35">
      <c r="K183" s="86"/>
    </row>
    <row r="184" spans="11:11" s="51" customFormat="1" x14ac:dyDescent="0.35">
      <c r="K184" s="86"/>
    </row>
    <row r="185" spans="11:11" s="51" customFormat="1" x14ac:dyDescent="0.35">
      <c r="K185" s="86"/>
    </row>
    <row r="186" spans="11:11" s="51" customFormat="1" x14ac:dyDescent="0.35">
      <c r="K186" s="86"/>
    </row>
    <row r="187" spans="11:11" s="51" customFormat="1" x14ac:dyDescent="0.35">
      <c r="K187" s="86"/>
    </row>
    <row r="188" spans="11:11" s="51" customFormat="1" x14ac:dyDescent="0.35">
      <c r="K188" s="86"/>
    </row>
    <row r="189" spans="11:11" s="51" customFormat="1" x14ac:dyDescent="0.35">
      <c r="K189" s="86"/>
    </row>
    <row r="190" spans="11:11" s="51" customFormat="1" x14ac:dyDescent="0.35">
      <c r="K190" s="86"/>
    </row>
    <row r="191" spans="11:11" s="51" customFormat="1" x14ac:dyDescent="0.35">
      <c r="K191" s="86"/>
    </row>
    <row r="192" spans="11:11" s="51" customFormat="1" x14ac:dyDescent="0.35">
      <c r="K192" s="86"/>
    </row>
    <row r="193" spans="11:11" s="51" customFormat="1" x14ac:dyDescent="0.35">
      <c r="K193" s="86"/>
    </row>
    <row r="194" spans="11:11" s="51" customFormat="1" x14ac:dyDescent="0.35">
      <c r="K194" s="86"/>
    </row>
    <row r="195" spans="11:11" s="51" customFormat="1" x14ac:dyDescent="0.35">
      <c r="K195" s="86"/>
    </row>
    <row r="196" spans="11:11" s="51" customFormat="1" x14ac:dyDescent="0.35">
      <c r="K196" s="86"/>
    </row>
    <row r="197" spans="11:11" s="51" customFormat="1" x14ac:dyDescent="0.35">
      <c r="K197" s="86"/>
    </row>
    <row r="198" spans="11:11" s="51" customFormat="1" x14ac:dyDescent="0.35">
      <c r="K198" s="86"/>
    </row>
    <row r="199" spans="11:11" s="51" customFormat="1" x14ac:dyDescent="0.35">
      <c r="K199" s="86"/>
    </row>
    <row r="200" spans="11:11" s="51" customFormat="1" x14ac:dyDescent="0.35">
      <c r="K200" s="86"/>
    </row>
  </sheetData>
  <sheetProtection algorithmName="SHA-512" hashValue="iHgVj+WRhFO+8IGX1kMjx12x5w8J6Q7wLCQ2dG6ZwkrjTSf96228rPJ3voLx1IgBts8E09n/l8+BPBNv8aZPxw==" saltValue="mA6inwK0GKyDGNgGHPPwbQ==" spinCount="100000" sheet="1" objects="1" scenarios="1"/>
  <mergeCells count="84">
    <mergeCell ref="A1:P1"/>
    <mergeCell ref="H55:I55"/>
    <mergeCell ref="N55:O55"/>
    <mergeCell ref="F5:G5"/>
    <mergeCell ref="G16:G17"/>
    <mergeCell ref="G42:G43"/>
    <mergeCell ref="G35:G36"/>
    <mergeCell ref="G26:G27"/>
    <mergeCell ref="M35:M36"/>
    <mergeCell ref="M42:M43"/>
    <mergeCell ref="M26:M27"/>
    <mergeCell ref="M16:M17"/>
    <mergeCell ref="A7:B7"/>
    <mergeCell ref="N51:O51"/>
    <mergeCell ref="H51:I51"/>
    <mergeCell ref="N52:O52"/>
    <mergeCell ref="H60:I60"/>
    <mergeCell ref="H61:I61"/>
    <mergeCell ref="D16:D17"/>
    <mergeCell ref="C16:C17"/>
    <mergeCell ref="B16:B17"/>
    <mergeCell ref="H50:I50"/>
    <mergeCell ref="I26:I27"/>
    <mergeCell ref="F35:F36"/>
    <mergeCell ref="H35:H36"/>
    <mergeCell ref="I35:I36"/>
    <mergeCell ref="H16:H17"/>
    <mergeCell ref="I16:I17"/>
    <mergeCell ref="F26:F27"/>
    <mergeCell ref="H26:H27"/>
    <mergeCell ref="F16:F17"/>
    <mergeCell ref="D26:D27"/>
    <mergeCell ref="H52:I52"/>
    <mergeCell ref="A16:A17"/>
    <mergeCell ref="D42:D43"/>
    <mergeCell ref="C42:C43"/>
    <mergeCell ref="B42:B43"/>
    <mergeCell ref="A42:A43"/>
    <mergeCell ref="A35:A36"/>
    <mergeCell ref="C26:C27"/>
    <mergeCell ref="B26:B27"/>
    <mergeCell ref="A26:A27"/>
    <mergeCell ref="D35:D36"/>
    <mergeCell ref="F42:F43"/>
    <mergeCell ref="H42:H43"/>
    <mergeCell ref="I42:I43"/>
    <mergeCell ref="C35:C36"/>
    <mergeCell ref="B35:B36"/>
    <mergeCell ref="H59:I59"/>
    <mergeCell ref="N57:O57"/>
    <mergeCell ref="H57:I57"/>
    <mergeCell ref="N53:O53"/>
    <mergeCell ref="H53:I53"/>
    <mergeCell ref="N54:O54"/>
    <mergeCell ref="H54:I54"/>
    <mergeCell ref="N56:O56"/>
    <mergeCell ref="H56:I56"/>
    <mergeCell ref="N50:O50"/>
    <mergeCell ref="L35:L36"/>
    <mergeCell ref="N35:N36"/>
    <mergeCell ref="O35:O36"/>
    <mergeCell ref="L42:L43"/>
    <mergeCell ref="N42:N43"/>
    <mergeCell ref="O42:O43"/>
    <mergeCell ref="P42:P43"/>
    <mergeCell ref="J16:J17"/>
    <mergeCell ref="L26:L27"/>
    <mergeCell ref="N26:N27"/>
    <mergeCell ref="O26:O27"/>
    <mergeCell ref="P26:P27"/>
    <mergeCell ref="J26:J27"/>
    <mergeCell ref="J42:J43"/>
    <mergeCell ref="P28:P29"/>
    <mergeCell ref="O28:O29"/>
    <mergeCell ref="M28:M29"/>
    <mergeCell ref="J35:J36"/>
    <mergeCell ref="L28:L29"/>
    <mergeCell ref="N28:N29"/>
    <mergeCell ref="P35:P36"/>
    <mergeCell ref="L5:M5"/>
    <mergeCell ref="L16:L17"/>
    <mergeCell ref="N16:N17"/>
    <mergeCell ref="O16:O17"/>
    <mergeCell ref="P16:P1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Contract Comparison Tool</vt:lpstr>
      <vt:lpstr>Sensitivity 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Jaborek, Jerad</dc:creator>
  <cp:lastModifiedBy>Jaborek, Jerad</cp:lastModifiedBy>
  <dcterms:created xsi:type="dcterms:W3CDTF">2021-03-15T23:49:06Z</dcterms:created>
  <dcterms:modified xsi:type="dcterms:W3CDTF">2022-02-02T22:02:15Z</dcterms:modified>
</cp:coreProperties>
</file>